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9" documentId="8_{860271E1-4139-4952-B14A-BE26B4E56F03}" xr6:coauthVersionLast="47" xr6:coauthVersionMax="47" xr10:uidLastSave="{0D913C7B-D350-4B68-BFE9-792D7015D42C}"/>
  <bookViews>
    <workbookView xWindow="-110" yWindow="-110" windowWidth="19420" windowHeight="10300" activeTab="1" xr2:uid="{5890CA6A-B18E-4A51-8EEF-24212B0537EF}"/>
  </bookViews>
  <sheets>
    <sheet name="Cover" sheetId="52" r:id="rId1"/>
    <sheet name="HVAC" sheetId="51" r:id="rId2"/>
  </sheets>
  <definedNames>
    <definedName name="_2.0_tons_1Phase">HVAC!$BB$178:$BB$180</definedName>
    <definedName name="_2.5_tons" localSheetId="1">HVAC!$AW$178:$AW$180</definedName>
    <definedName name="_2.5_tons_1Phase">HVAC!$BC$178:$BC$180</definedName>
    <definedName name="_3.0_tons" localSheetId="1">HVAC!$AX$178:$AX$180</definedName>
    <definedName name="_3.0_tons_1Phase">HVAC!$BD$178:$BD$180</definedName>
    <definedName name="_3.5_tons" localSheetId="1">HVAC!$AY$178:$AY$180</definedName>
    <definedName name="_3.5_tons_1Phase">HVAC!$BE$178:$BE$180</definedName>
    <definedName name="_4.0_tons" localSheetId="1">HVAC!$AZ$178:$AZ$180</definedName>
    <definedName name="_4.0_tons_1Phase">HVAC!$BF$178:$BF$180</definedName>
    <definedName name="_5.0_tons" localSheetId="1">HVAC!$BA$178:$BA$180</definedName>
    <definedName name="_5.0_tons_1Phase">HVAC!$BG$178:$BG$180</definedName>
    <definedName name="_xlnm._FilterDatabase" localSheetId="1" hidden="1">HVAC!$U$51:$V$60</definedName>
    <definedName name="AC_Unit_Single_Phase" localSheetId="1">HVAC!$AV$163:$AV$168</definedName>
    <definedName name="AC_Unit_Three_Phase" localSheetId="1">HVAC!$AX$163:$AX$172</definedName>
    <definedName name="Add_Economizers" localSheetId="1">HVAC!$BK$163:$BK$165</definedName>
    <definedName name="Advanced_Rooftop_Controls" localSheetId="1">HVAC!$BX$163:$BX$179</definedName>
    <definedName name="Chiller_Air_Cooled" localSheetId="1">HVAC!$BD$163:$BD$164</definedName>
    <definedName name="Chiller_Centrifugal" localSheetId="1">HVAC!$BB$163:$BB$167</definedName>
    <definedName name="Chiller_Positive_Displacement" localSheetId="1">HVAC!$BC$163:$BC$167</definedName>
    <definedName name="CO_Sensors" localSheetId="1">HVAC!$BQ$163:$BQ$166</definedName>
    <definedName name="CO2_Sensors" localSheetId="1">HVAC!$BP$163:$BP$176</definedName>
    <definedName name="Heat_Pump_Water_Heater" localSheetId="1">HVAC!$BW$163:$BW$164</definedName>
    <definedName name="Hotel_Room_Control_AC_Only" localSheetId="1">HVAC!$BI$163:$BI$165</definedName>
    <definedName name="Hotel_Room_Control_Heat_Pumps" localSheetId="1">HVAC!$BJ$163:$BJ$165</definedName>
    <definedName name="HP_Unit_Single_Phase" localSheetId="1">HVAC!$AW$163:$AW$168</definedName>
    <definedName name="HP_Unit_Three_Phase" localSheetId="1">HVAC!$AY$163:$AY$171</definedName>
    <definedName name="Measure" localSheetId="1">HVAC!$AU$163:$AU$177</definedName>
    <definedName name="Metric">HVAC!$BU$163:$BU$164</definedName>
    <definedName name="Minisplit_AC">HVAC!$AZ$163:$AZ$171</definedName>
    <definedName name="Minisplit_HP">HVAC!$BA$163:$BA$171</definedName>
    <definedName name="_xlnm.Print_Area" localSheetId="0">Cover!$A$1:$N$54</definedName>
    <definedName name="_xlnm.Print_Area" localSheetId="1">HVAC!$A$1:$AA$159</definedName>
    <definedName name="Programable_Thermostat" localSheetId="1">HVAC!$BG$163:$BG$164</definedName>
    <definedName name="Retro_Commissioning">HVAC!$BV$163:$BV$179</definedName>
    <definedName name="Shade_Screen" localSheetId="1">HVAC!$BS$163:$BS$164</definedName>
    <definedName name="Size">HVAC!$BY$163:$BY$164</definedName>
    <definedName name="under_5.4_tons" localSheetId="1">HVAC!$BH$178:$BH$181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2" i="51" l="1"/>
  <c r="Y53" i="51"/>
  <c r="Y54" i="51"/>
  <c r="Y55" i="51"/>
  <c r="Y56" i="51"/>
  <c r="Y57" i="51"/>
  <c r="Y58" i="51"/>
  <c r="Y59" i="51"/>
  <c r="Y60" i="51"/>
  <c r="Y61" i="51"/>
  <c r="Y62" i="51"/>
  <c r="Y63" i="51"/>
  <c r="Y64" i="51"/>
  <c r="Y65" i="51"/>
  <c r="Y66" i="51"/>
  <c r="Y67" i="51"/>
  <c r="Y68" i="51"/>
  <c r="Q52" i="51"/>
  <c r="Q53" i="51"/>
  <c r="Q54" i="51"/>
  <c r="Q55" i="51"/>
  <c r="Q56" i="51"/>
  <c r="Q57" i="51"/>
  <c r="Q58" i="51"/>
  <c r="Q59" i="51"/>
  <c r="Q60" i="51"/>
  <c r="Q61" i="51"/>
  <c r="Q62" i="51"/>
  <c r="Q63" i="51"/>
  <c r="Q64" i="51"/>
  <c r="Q65" i="51"/>
  <c r="Q66" i="51"/>
  <c r="Q67" i="51"/>
  <c r="Q68" i="51"/>
  <c r="BF90" i="51"/>
  <c r="BE90" i="51"/>
  <c r="BF89" i="51"/>
  <c r="BE89" i="51"/>
  <c r="BF88" i="51"/>
  <c r="BE88" i="51"/>
  <c r="BF87" i="51"/>
  <c r="BE87" i="51"/>
  <c r="BF86" i="51"/>
  <c r="BE86" i="51"/>
  <c r="BF85" i="51"/>
  <c r="BE85" i="51"/>
  <c r="BF84" i="51"/>
  <c r="BE84" i="51"/>
  <c r="BF83" i="51"/>
  <c r="BE83" i="51"/>
  <c r="BF82" i="51"/>
  <c r="BE82" i="51"/>
  <c r="BF81" i="51"/>
  <c r="BE81" i="51"/>
  <c r="BF80" i="51"/>
  <c r="BE80" i="51"/>
  <c r="BF79" i="51"/>
  <c r="BE79" i="51"/>
  <c r="BF78" i="51"/>
  <c r="BE78" i="51"/>
  <c r="BF77" i="51"/>
  <c r="BE77" i="51"/>
  <c r="BF76" i="51"/>
  <c r="BE76" i="51"/>
  <c r="BF75" i="51"/>
  <c r="BE75" i="51"/>
  <c r="BF74" i="51"/>
  <c r="BE74" i="51"/>
  <c r="BF73" i="51"/>
  <c r="BE73" i="51"/>
  <c r="BF72" i="51"/>
  <c r="BE72" i="51"/>
  <c r="BF71" i="51"/>
  <c r="BE71" i="51"/>
  <c r="BF70" i="51"/>
  <c r="BE70" i="51"/>
  <c r="BF69" i="51"/>
  <c r="BE69" i="51"/>
  <c r="BF68" i="51"/>
  <c r="BE68" i="51"/>
  <c r="BF67" i="51"/>
  <c r="BE67" i="51"/>
  <c r="BF66" i="51"/>
  <c r="BE66" i="51"/>
  <c r="BF65" i="51"/>
  <c r="BE65" i="51"/>
  <c r="BF64" i="51"/>
  <c r="BE64" i="51"/>
  <c r="BF63" i="51"/>
  <c r="BE63" i="51"/>
  <c r="BF62" i="51"/>
  <c r="BE62" i="51"/>
  <c r="BF61" i="51"/>
  <c r="BE61" i="51"/>
  <c r="BF60" i="51"/>
  <c r="BE60" i="51"/>
  <c r="BF59" i="51"/>
  <c r="BE59" i="51"/>
  <c r="BF58" i="51"/>
  <c r="BE58" i="51"/>
  <c r="BF57" i="51"/>
  <c r="BE57" i="51"/>
  <c r="BF56" i="51"/>
  <c r="BE56" i="51"/>
  <c r="BF55" i="51"/>
  <c r="BE55" i="51"/>
  <c r="BF54" i="51"/>
  <c r="BE54" i="51"/>
  <c r="BF53" i="51"/>
  <c r="BE53" i="51"/>
  <c r="BF52" i="51"/>
  <c r="BE52" i="51"/>
  <c r="BF51" i="51"/>
  <c r="BE51" i="51"/>
  <c r="BF50" i="51"/>
  <c r="BE50" i="51"/>
  <c r="BF49" i="51"/>
  <c r="BE49" i="51"/>
  <c r="BF48" i="51"/>
  <c r="BE48" i="51"/>
  <c r="Q51" i="51" l="1"/>
  <c r="AM52" i="51" l="1"/>
  <c r="AR52" i="51"/>
  <c r="AB52" i="51" s="1"/>
  <c r="AM53" i="51"/>
  <c r="AQ53" i="51"/>
  <c r="AI33" i="51" s="1"/>
  <c r="AR53" i="51"/>
  <c r="AB53" i="51" s="1"/>
  <c r="AM54" i="51"/>
  <c r="AQ54" i="51"/>
  <c r="AI34" i="51" s="1"/>
  <c r="AR54" i="51"/>
  <c r="AB54" i="51" s="1"/>
  <c r="AM55" i="51"/>
  <c r="AR55" i="51"/>
  <c r="AB55" i="51" s="1"/>
  <c r="AM56" i="51"/>
  <c r="AR56" i="51"/>
  <c r="AB56" i="51" s="1"/>
  <c r="AM57" i="51"/>
  <c r="AQ57" i="51"/>
  <c r="AI37" i="51" s="1"/>
  <c r="AR57" i="51"/>
  <c r="AB57" i="51" s="1"/>
  <c r="AM58" i="51"/>
  <c r="AR58" i="51"/>
  <c r="AB58" i="51" s="1"/>
  <c r="AM59" i="51"/>
  <c r="AR59" i="51"/>
  <c r="AB59" i="51" s="1"/>
  <c r="AM60" i="51"/>
  <c r="AR60" i="51"/>
  <c r="AB60" i="51" s="1"/>
  <c r="AM61" i="51"/>
  <c r="AR61" i="51"/>
  <c r="AB61" i="51" s="1"/>
  <c r="AM62" i="51"/>
  <c r="AQ62" i="51"/>
  <c r="AI42" i="51" s="1"/>
  <c r="AR62" i="51"/>
  <c r="AB62" i="51" s="1"/>
  <c r="AM63" i="51"/>
  <c r="AQ63" i="51"/>
  <c r="AI43" i="51" s="1"/>
  <c r="AR63" i="51"/>
  <c r="AB63" i="51" s="1"/>
  <c r="AM64" i="51"/>
  <c r="AQ64" i="51"/>
  <c r="AI44" i="51" s="1"/>
  <c r="AR64" i="51"/>
  <c r="AB64" i="51" s="1"/>
  <c r="AM65" i="51"/>
  <c r="AQ65" i="51"/>
  <c r="AI45" i="51" s="1"/>
  <c r="AR65" i="51"/>
  <c r="AB65" i="51" s="1"/>
  <c r="AM66" i="51"/>
  <c r="AQ66" i="51"/>
  <c r="AI46" i="51" s="1"/>
  <c r="AR66" i="51"/>
  <c r="AB66" i="51" s="1"/>
  <c r="AM67" i="51"/>
  <c r="AQ67" i="51"/>
  <c r="AI47" i="51" s="1"/>
  <c r="AR67" i="51"/>
  <c r="AB67" i="51" s="1"/>
  <c r="AM68" i="51"/>
  <c r="AQ68" i="51"/>
  <c r="AI48" i="51" s="1"/>
  <c r="AR68" i="51"/>
  <c r="AB68" i="51" s="1"/>
  <c r="AF303" i="51"/>
  <c r="AC97" i="51"/>
  <c r="AC106" i="51"/>
  <c r="U106" i="51" s="1"/>
  <c r="AC105" i="51"/>
  <c r="U105" i="51" s="1"/>
  <c r="AC104" i="51"/>
  <c r="U104" i="51" s="1"/>
  <c r="AC103" i="51"/>
  <c r="U103" i="51" s="1"/>
  <c r="AC102" i="51"/>
  <c r="U102" i="51" s="1"/>
  <c r="AC101" i="51"/>
  <c r="U101" i="51" s="1"/>
  <c r="AC100" i="51"/>
  <c r="U100" i="51" s="1"/>
  <c r="AC99" i="51"/>
  <c r="U99" i="51" s="1"/>
  <c r="AC98" i="51"/>
  <c r="AE55" i="51" l="1"/>
  <c r="AE57" i="51"/>
  <c r="AE56" i="51"/>
  <c r="AE61" i="51"/>
  <c r="AE59" i="51"/>
  <c r="AE54" i="51"/>
  <c r="AE52" i="51"/>
  <c r="AE58" i="51"/>
  <c r="AE53" i="51"/>
  <c r="AE60" i="51"/>
  <c r="AH60" i="51"/>
  <c r="AE68" i="51"/>
  <c r="AH68" i="51"/>
  <c r="AE67" i="51"/>
  <c r="AH67" i="51"/>
  <c r="AP66" i="51"/>
  <c r="AF46" i="51" s="1"/>
  <c r="AG46" i="51" s="1"/>
  <c r="AE66" i="51"/>
  <c r="AH66" i="51"/>
  <c r="AE65" i="51"/>
  <c r="AH65" i="51"/>
  <c r="AE64" i="51"/>
  <c r="AH64" i="51"/>
  <c r="AN64" i="51"/>
  <c r="AC64" i="51" s="1"/>
  <c r="AP63" i="51"/>
  <c r="AF43" i="51" s="1"/>
  <c r="AG43" i="51" s="1"/>
  <c r="AE63" i="51"/>
  <c r="AH63" i="51"/>
  <c r="AN63" i="51"/>
  <c r="AC63" i="51" s="1"/>
  <c r="AO63" i="51"/>
  <c r="S63" i="51" s="1"/>
  <c r="AE62" i="51"/>
  <c r="AH62" i="51"/>
  <c r="AP52" i="51"/>
  <c r="AF32" i="51" s="1"/>
  <c r="AG32" i="51" s="1"/>
  <c r="AO52" i="51"/>
  <c r="AJ52" i="51"/>
  <c r="AE32" i="51" s="1"/>
  <c r="AH52" i="51"/>
  <c r="AH61" i="51"/>
  <c r="AN55" i="51"/>
  <c r="AC55" i="51" s="1"/>
  <c r="AN58" i="51"/>
  <c r="AC58" i="51" s="1"/>
  <c r="AN56" i="51"/>
  <c r="AC56" i="51" s="1"/>
  <c r="AJ61" i="51"/>
  <c r="AN61" i="51"/>
  <c r="AC61" i="51" s="1"/>
  <c r="AO53" i="51"/>
  <c r="AP53" i="51"/>
  <c r="AF33" i="51" s="1"/>
  <c r="AG33" i="51" s="1"/>
  <c r="AH53" i="51"/>
  <c r="AO68" i="51"/>
  <c r="AJ68" i="51"/>
  <c r="AP68" i="51"/>
  <c r="AF48" i="51" s="1"/>
  <c r="AG48" i="51" s="1"/>
  <c r="AN68" i="51"/>
  <c r="AC68" i="51" s="1"/>
  <c r="AJ62" i="51"/>
  <c r="AO62" i="51"/>
  <c r="AP62" i="51"/>
  <c r="AF42" i="51" s="1"/>
  <c r="AG42" i="51" s="1"/>
  <c r="AN62" i="51"/>
  <c r="AC62" i="51" s="1"/>
  <c r="AJ60" i="51"/>
  <c r="AN60" i="51"/>
  <c r="AC60" i="51" s="1"/>
  <c r="AH54" i="51"/>
  <c r="AO54" i="51"/>
  <c r="S54" i="51" s="1"/>
  <c r="AP54" i="51"/>
  <c r="AF34" i="51" s="1"/>
  <c r="AG34" i="51" s="1"/>
  <c r="AH59" i="51"/>
  <c r="AP67" i="51"/>
  <c r="AF47" i="51" s="1"/>
  <c r="AG47" i="51" s="1"/>
  <c r="AH58" i="51"/>
  <c r="AJ57" i="51"/>
  <c r="AJ64" i="51"/>
  <c r="AN67" i="51"/>
  <c r="AC67" i="51" s="1"/>
  <c r="AO66" i="51"/>
  <c r="S66" i="51" s="1"/>
  <c r="AP65" i="51"/>
  <c r="AF45" i="51" s="1"/>
  <c r="AG45" i="51" s="1"/>
  <c r="AJ63" i="51"/>
  <c r="AN59" i="51"/>
  <c r="AC59" i="51" s="1"/>
  <c r="AO58" i="51"/>
  <c r="S58" i="51" s="1"/>
  <c r="AP57" i="51"/>
  <c r="AF37" i="51" s="1"/>
  <c r="AG37" i="51" s="1"/>
  <c r="AH56" i="51"/>
  <c r="AJ59" i="51"/>
  <c r="AE39" i="51" s="1"/>
  <c r="AJ58" i="51"/>
  <c r="AP59" i="51"/>
  <c r="AF39" i="51" s="1"/>
  <c r="AG39" i="51" s="1"/>
  <c r="AO59" i="51"/>
  <c r="S59" i="51" s="1"/>
  <c r="AP58" i="51"/>
  <c r="AF38" i="51" s="1"/>
  <c r="AG38" i="51" s="1"/>
  <c r="AH57" i="51"/>
  <c r="AN66" i="51"/>
  <c r="AC66" i="51" s="1"/>
  <c r="AO65" i="51"/>
  <c r="AP64" i="51"/>
  <c r="AF44" i="51" s="1"/>
  <c r="AG44" i="51" s="1"/>
  <c r="AH55" i="51"/>
  <c r="AJ67" i="51"/>
  <c r="AJ66" i="51"/>
  <c r="AJ65" i="51"/>
  <c r="AO67" i="51"/>
  <c r="AJ56" i="51"/>
  <c r="AN65" i="51"/>
  <c r="AC65" i="51" s="1"/>
  <c r="AO64" i="51"/>
  <c r="S64" i="51" s="1"/>
  <c r="AN57" i="51"/>
  <c r="AC57" i="51" s="1"/>
  <c r="O74" i="51"/>
  <c r="O75" i="51"/>
  <c r="O76" i="51"/>
  <c r="O77" i="51"/>
  <c r="O78" i="51"/>
  <c r="O79" i="51"/>
  <c r="O80" i="51"/>
  <c r="S52" i="51" l="1"/>
  <c r="S53" i="51"/>
  <c r="S68" i="51"/>
  <c r="S67" i="51"/>
  <c r="S65" i="51"/>
  <c r="S62" i="51"/>
  <c r="AS63" i="51"/>
  <c r="AD43" i="51" s="1"/>
  <c r="AE43" i="51"/>
  <c r="AS65" i="51"/>
  <c r="AD45" i="51" s="1"/>
  <c r="AE45" i="51"/>
  <c r="AS66" i="51"/>
  <c r="AD46" i="51" s="1"/>
  <c r="AE46" i="51"/>
  <c r="AS68" i="51"/>
  <c r="AD48" i="51" s="1"/>
  <c r="AE48" i="51"/>
  <c r="AS67" i="51"/>
  <c r="AD47" i="51" s="1"/>
  <c r="AE47" i="51"/>
  <c r="AS58" i="51"/>
  <c r="AD38" i="51" s="1"/>
  <c r="AE38" i="51"/>
  <c r="AS56" i="51"/>
  <c r="AD36" i="51" s="1"/>
  <c r="AE36" i="51"/>
  <c r="AS62" i="51"/>
  <c r="AD42" i="51" s="1"/>
  <c r="AE42" i="51"/>
  <c r="AE41" i="51"/>
  <c r="AE40" i="51"/>
  <c r="AS64" i="51"/>
  <c r="AE44" i="51"/>
  <c r="AN52" i="51"/>
  <c r="AC52" i="51" s="1"/>
  <c r="AJ55" i="51"/>
  <c r="AJ54" i="51"/>
  <c r="AN54" i="51"/>
  <c r="AC54" i="51" s="1"/>
  <c r="AJ53" i="51"/>
  <c r="AN53" i="51"/>
  <c r="AC53" i="51" s="1"/>
  <c r="AH219" i="51"/>
  <c r="AH218" i="51"/>
  <c r="AH217" i="51"/>
  <c r="AH216" i="51"/>
  <c r="AQ52" i="51" s="1"/>
  <c r="AI32" i="51" s="1"/>
  <c r="AH215" i="51"/>
  <c r="AH214" i="51"/>
  <c r="AH213" i="51"/>
  <c r="AH212" i="51"/>
  <c r="AH211" i="51"/>
  <c r="AH210" i="51"/>
  <c r="AH209" i="51"/>
  <c r="AH208" i="51"/>
  <c r="AH207" i="51"/>
  <c r="AH206" i="51"/>
  <c r="AH205" i="51"/>
  <c r="AH204" i="51"/>
  <c r="AH203" i="51"/>
  <c r="AH202" i="51"/>
  <c r="AH201" i="51"/>
  <c r="AH200" i="51"/>
  <c r="AH199" i="51"/>
  <c r="AH198" i="51"/>
  <c r="AH197" i="51"/>
  <c r="AH196" i="51"/>
  <c r="AH195" i="51"/>
  <c r="AH194" i="51"/>
  <c r="AH193" i="51"/>
  <c r="AH192" i="51"/>
  <c r="AH191" i="51"/>
  <c r="AH190" i="51"/>
  <c r="AH189" i="51"/>
  <c r="AH188" i="51"/>
  <c r="AH187" i="51"/>
  <c r="AH186" i="51"/>
  <c r="AH185" i="51"/>
  <c r="AH184" i="51"/>
  <c r="AH283" i="51"/>
  <c r="AH282" i="51"/>
  <c r="AH281" i="51"/>
  <c r="AH280" i="51"/>
  <c r="AH279" i="51"/>
  <c r="AH278" i="51"/>
  <c r="AH277" i="51"/>
  <c r="AH276" i="51"/>
  <c r="AH275" i="51"/>
  <c r="AH274" i="51"/>
  <c r="AH273" i="51"/>
  <c r="AH272" i="51"/>
  <c r="AH271" i="51"/>
  <c r="AH270" i="51"/>
  <c r="AH269" i="51"/>
  <c r="AH268" i="51"/>
  <c r="AH267" i="51"/>
  <c r="AH266" i="51"/>
  <c r="AH265" i="51"/>
  <c r="AH264" i="51"/>
  <c r="AH263" i="51"/>
  <c r="AH262" i="51"/>
  <c r="AH261" i="51"/>
  <c r="AH260" i="51"/>
  <c r="AH253" i="51"/>
  <c r="AH252" i="51"/>
  <c r="AH259" i="51"/>
  <c r="AH258" i="51"/>
  <c r="AH257" i="51"/>
  <c r="AH256" i="51"/>
  <c r="AH255" i="51"/>
  <c r="AH254" i="51"/>
  <c r="AH251" i="51"/>
  <c r="AH250" i="51"/>
  <c r="AH249" i="51"/>
  <c r="AI247" i="51"/>
  <c r="AH247" i="51"/>
  <c r="AH248" i="51"/>
  <c r="AC85" i="51"/>
  <c r="U85" i="51" s="1"/>
  <c r="AC86" i="51"/>
  <c r="U86" i="51" s="1"/>
  <c r="AC87" i="51"/>
  <c r="U87" i="51" s="1"/>
  <c r="AC88" i="51"/>
  <c r="U88" i="51" s="1"/>
  <c r="AC89" i="51"/>
  <c r="U89" i="51" s="1"/>
  <c r="AC90" i="51"/>
  <c r="U90" i="51" s="1"/>
  <c r="AC91" i="51"/>
  <c r="U91" i="51" s="1"/>
  <c r="AC92" i="51"/>
  <c r="U92" i="51" s="1"/>
  <c r="AC93" i="51"/>
  <c r="U93" i="51" s="1"/>
  <c r="AC84" i="51"/>
  <c r="AH302" i="51"/>
  <c r="AF302" i="51"/>
  <c r="AH301" i="51"/>
  <c r="AH300" i="51"/>
  <c r="AH299" i="51"/>
  <c r="AH298" i="51"/>
  <c r="AH297" i="51"/>
  <c r="AH296" i="51"/>
  <c r="AH295" i="51"/>
  <c r="AH294" i="51"/>
  <c r="AH293" i="51"/>
  <c r="AH292" i="51"/>
  <c r="AH291" i="51"/>
  <c r="AH290" i="51"/>
  <c r="AH289" i="51"/>
  <c r="AH288" i="51"/>
  <c r="AH287" i="51"/>
  <c r="AH286" i="51"/>
  <c r="AH285" i="51"/>
  <c r="AH284" i="51"/>
  <c r="AQ51" i="51" l="1"/>
  <c r="AS55" i="51"/>
  <c r="AD35" i="51" s="1"/>
  <c r="AE35" i="51"/>
  <c r="AE294" i="51"/>
  <c r="AE295" i="51"/>
  <c r="AE296" i="51"/>
  <c r="AE297" i="51"/>
  <c r="AE298" i="51"/>
  <c r="AE299" i="51"/>
  <c r="AE300" i="51"/>
  <c r="AE301" i="51"/>
  <c r="AE293" i="51"/>
  <c r="AE285" i="51"/>
  <c r="AE286" i="51"/>
  <c r="AE287" i="51"/>
  <c r="AE288" i="51"/>
  <c r="AE289" i="51"/>
  <c r="AE290" i="51"/>
  <c r="AE291" i="51"/>
  <c r="AE292" i="51"/>
  <c r="AE284" i="51"/>
  <c r="AJ225" i="51" l="1"/>
  <c r="AI225" i="51"/>
  <c r="AH225" i="51"/>
  <c r="AJ224" i="51"/>
  <c r="AI224" i="51"/>
  <c r="AH224" i="51"/>
  <c r="AJ223" i="51"/>
  <c r="AI223" i="51"/>
  <c r="AH223" i="51"/>
  <c r="AJ222" i="51"/>
  <c r="AI222" i="51"/>
  <c r="AH222" i="51"/>
  <c r="AJ221" i="51"/>
  <c r="AI221" i="51"/>
  <c r="AH221" i="51"/>
  <c r="AQ58" i="51" s="1"/>
  <c r="AI38" i="51" s="1"/>
  <c r="AJ220" i="51"/>
  <c r="AI220" i="51"/>
  <c r="AH220" i="51"/>
  <c r="AL283" i="51"/>
  <c r="AL282" i="51"/>
  <c r="AL281" i="51"/>
  <c r="AL280" i="51"/>
  <c r="AL279" i="51"/>
  <c r="AL278" i="51"/>
  <c r="AL277" i="51"/>
  <c r="AL276" i="51"/>
  <c r="AL275" i="51"/>
  <c r="AL274" i="51"/>
  <c r="AL273" i="51"/>
  <c r="AL272" i="51"/>
  <c r="AL271" i="51"/>
  <c r="AL270" i="51"/>
  <c r="AL269" i="51"/>
  <c r="AL268" i="51"/>
  <c r="AL267" i="51"/>
  <c r="AL266" i="51"/>
  <c r="AL202" i="51"/>
  <c r="AL203" i="51"/>
  <c r="AL204" i="51"/>
  <c r="AL205" i="51"/>
  <c r="AL206" i="51"/>
  <c r="AL207" i="51"/>
  <c r="AL208" i="51"/>
  <c r="AL209" i="51"/>
  <c r="AL210" i="51"/>
  <c r="AL211" i="51"/>
  <c r="AL212" i="51"/>
  <c r="AL213" i="51"/>
  <c r="AL214" i="51"/>
  <c r="AL215" i="51"/>
  <c r="AL216" i="51"/>
  <c r="AS52" i="51" s="1"/>
  <c r="AL217" i="51"/>
  <c r="AL218" i="51"/>
  <c r="AL219" i="51"/>
  <c r="AL249" i="51" l="1"/>
  <c r="AL250" i="51"/>
  <c r="AL251" i="51"/>
  <c r="AL252" i="51"/>
  <c r="AL253" i="51"/>
  <c r="AL254" i="51"/>
  <c r="AL255" i="51"/>
  <c r="AL256" i="51"/>
  <c r="AL257" i="51"/>
  <c r="AL258" i="51"/>
  <c r="AL259" i="51"/>
  <c r="AL260" i="51"/>
  <c r="AL261" i="51"/>
  <c r="AL262" i="51"/>
  <c r="AL263" i="51"/>
  <c r="AL264" i="51"/>
  <c r="AL265" i="51"/>
  <c r="AL248" i="51"/>
  <c r="AL185" i="51"/>
  <c r="AL186" i="51"/>
  <c r="AL187" i="51"/>
  <c r="AL188" i="51"/>
  <c r="AL189" i="51"/>
  <c r="AL190" i="51"/>
  <c r="AL191" i="51"/>
  <c r="AL192" i="51"/>
  <c r="AL193" i="51"/>
  <c r="AL194" i="51"/>
  <c r="AL195" i="51"/>
  <c r="AL196" i="51"/>
  <c r="AL197" i="51"/>
  <c r="AL198" i="51"/>
  <c r="AL199" i="51"/>
  <c r="AL200" i="51"/>
  <c r="AL201" i="51"/>
  <c r="AL184" i="51"/>
  <c r="AY60" i="51" l="1"/>
  <c r="AK171" i="51" s="1"/>
  <c r="AZ60" i="51"/>
  <c r="AM171" i="51" s="1"/>
  <c r="AY61" i="51"/>
  <c r="AK172" i="51" s="1"/>
  <c r="AZ61" i="51"/>
  <c r="AM172" i="51" s="1"/>
  <c r="AY62" i="51"/>
  <c r="AK173" i="51" s="1"/>
  <c r="AZ62" i="51"/>
  <c r="AM173" i="51" s="1"/>
  <c r="AY63" i="51"/>
  <c r="AK174" i="51" s="1"/>
  <c r="AZ63" i="51"/>
  <c r="AM174" i="51" s="1"/>
  <c r="AY64" i="51"/>
  <c r="AK175" i="51" s="1"/>
  <c r="AZ64" i="51"/>
  <c r="AM175" i="51" s="1"/>
  <c r="AY65" i="51"/>
  <c r="AK176" i="51" s="1"/>
  <c r="AZ65" i="51"/>
  <c r="AM176" i="51" s="1"/>
  <c r="AY66" i="51"/>
  <c r="AK177" i="51" s="1"/>
  <c r="AZ66" i="51"/>
  <c r="AM177" i="51" s="1"/>
  <c r="AY67" i="51"/>
  <c r="AK178" i="51" s="1"/>
  <c r="AZ67" i="51"/>
  <c r="AM178" i="51" s="1"/>
  <c r="AY68" i="51"/>
  <c r="AK179" i="51" s="1"/>
  <c r="AZ68" i="51"/>
  <c r="AM179" i="51" s="1"/>
  <c r="AY69" i="51"/>
  <c r="AK180" i="51" s="1"/>
  <c r="AZ69" i="51"/>
  <c r="AM180" i="51" s="1"/>
  <c r="AY70" i="51"/>
  <c r="AK181" i="51" s="1"/>
  <c r="AZ70" i="51"/>
  <c r="AM181" i="51" s="1"/>
  <c r="AZ59" i="51"/>
  <c r="AM170" i="51" s="1"/>
  <c r="AY59" i="51"/>
  <c r="AK170" i="51" s="1"/>
  <c r="AY47" i="51" l="1"/>
  <c r="AY52" i="51" l="1"/>
  <c r="AY48" i="51"/>
  <c r="BK177" i="51" l="1"/>
  <c r="BI162" i="51"/>
  <c r="AE230" i="51"/>
  <c r="AE231" i="51"/>
  <c r="AE232" i="51"/>
  <c r="AE233" i="51"/>
  <c r="AE234" i="51"/>
  <c r="AE235" i="51"/>
  <c r="AE236" i="51"/>
  <c r="AE237" i="51"/>
  <c r="AE238" i="51"/>
  <c r="AE239" i="51"/>
  <c r="AE240" i="51"/>
  <c r="AE241" i="51"/>
  <c r="AE242" i="51"/>
  <c r="AE229" i="51"/>
  <c r="AQ61" i="51" l="1"/>
  <c r="AI41" i="51" s="1"/>
  <c r="AQ56" i="51"/>
  <c r="AI36" i="51" s="1"/>
  <c r="AE102" i="51"/>
  <c r="AE103" i="51"/>
  <c r="AE104" i="51"/>
  <c r="AE100" i="51"/>
  <c r="AE84" i="51"/>
  <c r="AE101" i="51"/>
  <c r="AE97" i="51"/>
  <c r="U97" i="51" s="1"/>
  <c r="AQ60" i="51"/>
  <c r="AI40" i="51" s="1"/>
  <c r="AQ55" i="51"/>
  <c r="AI35" i="51" s="1"/>
  <c r="AE105" i="51"/>
  <c r="AE98" i="51"/>
  <c r="AE106" i="51"/>
  <c r="AE99" i="51"/>
  <c r="AO55" i="51"/>
  <c r="S55" i="51" s="1"/>
  <c r="AP56" i="51"/>
  <c r="AF36" i="51" s="1"/>
  <c r="AG36" i="51" s="1"/>
  <c r="AO56" i="51"/>
  <c r="S56" i="51" s="1"/>
  <c r="AO60" i="51"/>
  <c r="S60" i="51" s="1"/>
  <c r="AO61" i="51"/>
  <c r="S61" i="51" s="1"/>
  <c r="AP60" i="51"/>
  <c r="AF40" i="51" s="1"/>
  <c r="AG40" i="51" s="1"/>
  <c r="AP55" i="51"/>
  <c r="AF35" i="51" s="1"/>
  <c r="AG35" i="51" s="1"/>
  <c r="AP61" i="51"/>
  <c r="AF41" i="51" s="1"/>
  <c r="AG41" i="51" s="1"/>
  <c r="AS61" i="51"/>
  <c r="AS60" i="51"/>
  <c r="U98" i="51"/>
  <c r="AE89" i="51"/>
  <c r="AE92" i="51"/>
  <c r="AE93" i="51"/>
  <c r="AE90" i="51"/>
  <c r="AE91" i="51"/>
  <c r="AE85" i="51"/>
  <c r="AE86" i="51"/>
  <c r="AE87" i="51"/>
  <c r="AE88" i="51"/>
  <c r="U84" i="51"/>
  <c r="AB73" i="51"/>
  <c r="O73" i="51"/>
  <c r="AB80" i="51"/>
  <c r="AE73" i="51"/>
  <c r="AU212" i="51" l="1"/>
  <c r="AT212" i="51"/>
  <c r="AU211" i="51"/>
  <c r="AT211" i="51"/>
  <c r="AU210" i="51"/>
  <c r="AT210" i="51"/>
  <c r="AU209" i="51"/>
  <c r="AT209" i="51"/>
  <c r="AU208" i="51"/>
  <c r="AT208" i="51"/>
  <c r="AU207" i="51"/>
  <c r="AT207" i="51"/>
  <c r="AU206" i="51"/>
  <c r="AT206" i="51"/>
  <c r="AU205" i="51"/>
  <c r="AT205" i="51"/>
  <c r="AU204" i="51"/>
  <c r="AT204" i="51"/>
  <c r="AU203" i="51"/>
  <c r="AT203" i="51"/>
  <c r="AU202" i="51"/>
  <c r="AT202" i="51"/>
  <c r="AU201" i="51"/>
  <c r="AT201" i="51"/>
  <c r="AU200" i="51"/>
  <c r="AT200" i="51"/>
  <c r="AU199" i="51"/>
  <c r="AT199" i="51"/>
  <c r="AU198" i="51"/>
  <c r="AT198" i="51"/>
  <c r="AU197" i="51"/>
  <c r="AT197" i="51"/>
  <c r="AU196" i="51"/>
  <c r="AT196" i="51"/>
  <c r="AU195" i="51"/>
  <c r="AT195" i="51"/>
  <c r="AU194" i="51"/>
  <c r="AT194" i="51"/>
  <c r="AU193" i="51"/>
  <c r="AT193" i="51"/>
  <c r="AR214" i="51"/>
  <c r="AU214" i="51" s="1"/>
  <c r="AU213" i="51" l="1"/>
  <c r="AS214" i="51"/>
  <c r="AR215" i="51"/>
  <c r="AS215" i="51"/>
  <c r="AR216" i="51"/>
  <c r="AS216" i="51"/>
  <c r="AS213" i="51"/>
  <c r="AR213" i="51"/>
  <c r="AT216" i="51" l="1"/>
  <c r="AJ174" i="51" s="1" a="1"/>
  <c r="AJ174" i="51" s="1"/>
  <c r="AT215" i="51"/>
  <c r="AT214" i="51"/>
  <c r="AT213" i="51"/>
  <c r="AU216" i="51"/>
  <c r="AU215" i="51"/>
  <c r="AJ170" i="51" l="1" a="1"/>
  <c r="AJ170" i="51" s="1"/>
  <c r="AF170" i="51" s="1"/>
  <c r="AL170" i="51" a="1"/>
  <c r="AL170" i="51" s="1"/>
  <c r="AL171" i="51" a="1"/>
  <c r="AL171" i="51" s="1"/>
  <c r="AJ175" i="51" a="1"/>
  <c r="AJ175" i="51" s="1"/>
  <c r="AJ176" i="51" a="1"/>
  <c r="AJ176" i="51" s="1"/>
  <c r="AJ180" i="51" a="1"/>
  <c r="AJ180" i="51" s="1"/>
  <c r="AF180" i="51" s="1"/>
  <c r="AJ173" i="51" a="1"/>
  <c r="AJ173" i="51" s="1"/>
  <c r="AJ181" i="51" a="1"/>
  <c r="AJ181" i="51" s="1"/>
  <c r="AJ177" i="51" a="1"/>
  <c r="AJ177" i="51" s="1"/>
  <c r="AF177" i="51" s="1"/>
  <c r="G29" i="51" s="1"/>
  <c r="AL172" i="51" a="1"/>
  <c r="AL172" i="51" s="1"/>
  <c r="AL173" i="51" a="1"/>
  <c r="AL173" i="51" s="1"/>
  <c r="AL179" i="51" a="1"/>
  <c r="AL179" i="51" s="1"/>
  <c r="AL174" i="51" a="1"/>
  <c r="AL174" i="51" s="1"/>
  <c r="AL180" i="51" a="1"/>
  <c r="AL180" i="51" s="1"/>
  <c r="AL181" i="51" a="1"/>
  <c r="AL181" i="51" s="1"/>
  <c r="AL175" i="51" a="1"/>
  <c r="AL175" i="51" s="1"/>
  <c r="AL176" i="51" a="1"/>
  <c r="AL176" i="51" s="1"/>
  <c r="AL178" i="51" a="1"/>
  <c r="AL178" i="51" s="1"/>
  <c r="AL177" i="51" a="1"/>
  <c r="AL177" i="51" s="1"/>
  <c r="AJ172" i="51" a="1"/>
  <c r="AJ172" i="51" s="1"/>
  <c r="AJ171" i="51" a="1"/>
  <c r="AJ171" i="51" s="1"/>
  <c r="AJ179" i="51" a="1"/>
  <c r="AJ179" i="51" s="1"/>
  <c r="AJ178" i="51" a="1"/>
  <c r="AJ178" i="51" s="1"/>
  <c r="AF171" i="51" l="1"/>
  <c r="AF172" i="51"/>
  <c r="G24" i="51" s="1"/>
  <c r="AF173" i="51"/>
  <c r="G32" i="51"/>
  <c r="AF181" i="51"/>
  <c r="G33" i="51" s="1"/>
  <c r="G22" i="51"/>
  <c r="G25" i="51" l="1"/>
  <c r="AO57" i="51"/>
  <c r="S57" i="51" s="1"/>
  <c r="G23" i="51"/>
  <c r="AF175" i="51"/>
  <c r="G27" i="51" s="1"/>
  <c r="AF178" i="51"/>
  <c r="G30" i="51" s="1"/>
  <c r="AF176" i="51"/>
  <c r="G28" i="51" s="1"/>
  <c r="AF174" i="51"/>
  <c r="AF179" i="51"/>
  <c r="G31" i="51" s="1"/>
  <c r="G26" i="51" l="1"/>
  <c r="AY49" i="51"/>
  <c r="AS53" i="51" l="1"/>
  <c r="AE33" i="51"/>
  <c r="AR51" i="51"/>
  <c r="AB51" i="51" s="1"/>
  <c r="AE51" i="51" l="1"/>
  <c r="AT52" i="51"/>
  <c r="AP51" i="51"/>
  <c r="AJ51" i="51"/>
  <c r="AS51" i="51" s="1"/>
  <c r="AU68" i="51"/>
  <c r="AT68" i="51"/>
  <c r="AU67" i="51"/>
  <c r="AT67" i="51"/>
  <c r="AU66" i="51"/>
  <c r="AT66" i="51"/>
  <c r="AT65" i="51"/>
  <c r="AU65" i="51"/>
  <c r="AT64" i="51"/>
  <c r="AU64" i="51" s="1"/>
  <c r="AU63" i="51"/>
  <c r="AT63" i="51"/>
  <c r="AT51" i="51"/>
  <c r="AU51" i="51" s="1"/>
  <c r="AT62" i="51"/>
  <c r="AU62" i="51" s="1"/>
  <c r="AT61" i="51"/>
  <c r="AU61" i="51" s="1"/>
  <c r="AF30" i="51"/>
  <c r="AY50" i="51"/>
  <c r="AM51" i="51"/>
  <c r="AY51" i="51"/>
  <c r="AY53" i="51"/>
  <c r="AY54" i="51"/>
  <c r="AY55" i="51"/>
  <c r="AY56" i="51"/>
  <c r="AB74" i="51"/>
  <c r="AB75" i="51"/>
  <c r="AB76" i="51"/>
  <c r="AB77" i="51"/>
  <c r="AB78" i="51"/>
  <c r="AB79" i="51"/>
  <c r="BJ162" i="51"/>
  <c r="BK162" i="51"/>
  <c r="BJ177" i="51"/>
  <c r="BL177" i="51"/>
  <c r="AH182" i="51"/>
  <c r="AI182" i="51"/>
  <c r="AJ182" i="51"/>
  <c r="AH183" i="51"/>
  <c r="AQ59" i="51" s="1"/>
  <c r="AI39" i="51" s="1"/>
  <c r="AI183" i="51"/>
  <c r="AJ183" i="51"/>
  <c r="AH226" i="51"/>
  <c r="AH227" i="51"/>
  <c r="AH228" i="51"/>
  <c r="AH229" i="51"/>
  <c r="AI229" i="51"/>
  <c r="AJ229" i="51"/>
  <c r="AH230" i="51"/>
  <c r="AI230" i="51"/>
  <c r="AJ230" i="51"/>
  <c r="AH231" i="51"/>
  <c r="AI231" i="51"/>
  <c r="AJ231" i="51"/>
  <c r="AH232" i="51"/>
  <c r="AI232" i="51"/>
  <c r="AJ232" i="51"/>
  <c r="AH233" i="51"/>
  <c r="AI233" i="51"/>
  <c r="AJ233" i="51"/>
  <c r="AH234" i="51"/>
  <c r="AI234" i="51"/>
  <c r="AJ234" i="51"/>
  <c r="AH235" i="51"/>
  <c r="AI235" i="51"/>
  <c r="AJ235" i="51"/>
  <c r="AH236" i="51"/>
  <c r="AI236" i="51"/>
  <c r="AJ236" i="51"/>
  <c r="AH237" i="51"/>
  <c r="AI237" i="51"/>
  <c r="AJ237" i="51"/>
  <c r="AH238" i="51"/>
  <c r="AI238" i="51"/>
  <c r="AJ238" i="51"/>
  <c r="AH239" i="51"/>
  <c r="AI239" i="51"/>
  <c r="AJ239" i="51"/>
  <c r="AH240" i="51"/>
  <c r="AI240" i="51"/>
  <c r="AJ240" i="51"/>
  <c r="AH241" i="51"/>
  <c r="AI241" i="51"/>
  <c r="AJ241" i="51"/>
  <c r="AH242" i="51"/>
  <c r="AI242" i="51"/>
  <c r="AJ242" i="51"/>
  <c r="AH243" i="51"/>
  <c r="AI243" i="51"/>
  <c r="AJ243" i="51"/>
  <c r="AH244" i="51"/>
  <c r="AI244" i="51"/>
  <c r="AJ244" i="51"/>
  <c r="AH245" i="51"/>
  <c r="AI245" i="51"/>
  <c r="AJ245" i="51"/>
  <c r="AH246" i="51"/>
  <c r="AI246" i="51"/>
  <c r="AJ246" i="51"/>
  <c r="AC74" i="51"/>
  <c r="AC75" i="51"/>
  <c r="AC76" i="51"/>
  <c r="AC77" i="51"/>
  <c r="AC78" i="51"/>
  <c r="AC79" i="51"/>
  <c r="AC80" i="51"/>
  <c r="AC73" i="51"/>
  <c r="W73" i="51" s="1" a="1"/>
  <c r="W73" i="51" s="1"/>
  <c r="AE75" i="51"/>
  <c r="AE77" i="51"/>
  <c r="AE78" i="51"/>
  <c r="AE74" i="51"/>
  <c r="AE80" i="51"/>
  <c r="AE79" i="51"/>
  <c r="AE76" i="51"/>
  <c r="AS54" i="51" l="1"/>
  <c r="AE34" i="51"/>
  <c r="AE31" i="51"/>
  <c r="W79" i="51" a="1"/>
  <c r="W79" i="51" s="1"/>
  <c r="AD79" i="51" s="1"/>
  <c r="W75" i="51" a="1"/>
  <c r="W75" i="51" s="1"/>
  <c r="AD75" i="51" s="1"/>
  <c r="W74" i="51" a="1"/>
  <c r="W74" i="51" s="1"/>
  <c r="AD74" i="51" s="1"/>
  <c r="W78" i="51" a="1"/>
  <c r="W78" i="51" s="1"/>
  <c r="AD78" i="51" s="1"/>
  <c r="W76" i="51" a="1"/>
  <c r="W76" i="51" s="1"/>
  <c r="AD76" i="51" s="1"/>
  <c r="W77" i="51" a="1"/>
  <c r="W77" i="51" s="1"/>
  <c r="AD77" i="51" s="1"/>
  <c r="W80" i="51" a="1"/>
  <c r="W80" i="51" s="1"/>
  <c r="AD80" i="51" s="1"/>
  <c r="AI31" i="51"/>
  <c r="AT60" i="51"/>
  <c r="AU60" i="51" s="1"/>
  <c r="AT59" i="51"/>
  <c r="AU59" i="51" s="1"/>
  <c r="AS59" i="51" s="1"/>
  <c r="AD39" i="51" s="1"/>
  <c r="AT58" i="51"/>
  <c r="AU58" i="51" s="1"/>
  <c r="AT57" i="51"/>
  <c r="AU57" i="51" s="1"/>
  <c r="AT56" i="51"/>
  <c r="AU56" i="51" s="1"/>
  <c r="AT55" i="51"/>
  <c r="AU55" i="51" s="1"/>
  <c r="AT54" i="51"/>
  <c r="AU54" i="51" s="1"/>
  <c r="AT53" i="51"/>
  <c r="AU53" i="51" s="1"/>
  <c r="AU52" i="51"/>
  <c r="AH51" i="51"/>
  <c r="AO51" i="51"/>
  <c r="AF31" i="51"/>
  <c r="AG31" i="51" s="1"/>
  <c r="AN51" i="51"/>
  <c r="AC51" i="51" s="1"/>
  <c r="AS57" i="51" l="1"/>
  <c r="AE37" i="51"/>
  <c r="S51" i="51"/>
  <c r="AK60" i="51"/>
  <c r="AH40" i="51" s="1"/>
  <c r="AJ40" i="51" s="1"/>
  <c r="AK40" i="51" s="1"/>
  <c r="AL60" i="51"/>
  <c r="AF60" i="51"/>
  <c r="AK61" i="51"/>
  <c r="AH41" i="51" s="1"/>
  <c r="AJ41" i="51" s="1"/>
  <c r="AK41" i="51" s="1"/>
  <c r="AL61" i="51"/>
  <c r="AF61" i="51"/>
  <c r="AL63" i="51"/>
  <c r="AK63" i="51"/>
  <c r="AH43" i="51" s="1"/>
  <c r="AJ43" i="51" s="1"/>
  <c r="AK43" i="51" s="1"/>
  <c r="AF63" i="51"/>
  <c r="AK68" i="51"/>
  <c r="AH48" i="51" s="1"/>
  <c r="AJ48" i="51" s="1"/>
  <c r="AK48" i="51" s="1"/>
  <c r="AL68" i="51"/>
  <c r="AF68" i="51"/>
  <c r="AK65" i="51"/>
  <c r="AH45" i="51" s="1"/>
  <c r="AJ45" i="51" s="1"/>
  <c r="AK45" i="51" s="1"/>
  <c r="AL65" i="51"/>
  <c r="AF65" i="51"/>
  <c r="AK64" i="51"/>
  <c r="AH44" i="51" s="1"/>
  <c r="AJ44" i="51" s="1"/>
  <c r="AK44" i="51" s="1"/>
  <c r="AL64" i="51"/>
  <c r="AF64" i="51"/>
  <c r="AK66" i="51"/>
  <c r="AH46" i="51" s="1"/>
  <c r="AJ46" i="51" s="1"/>
  <c r="AK46" i="51" s="1"/>
  <c r="AL66" i="51"/>
  <c r="AF66" i="51"/>
  <c r="AL67" i="51"/>
  <c r="AK67" i="51"/>
  <c r="AH47" i="51" s="1"/>
  <c r="AJ47" i="51" s="1"/>
  <c r="AK47" i="51" s="1"/>
  <c r="AF67" i="51"/>
  <c r="AK57" i="51"/>
  <c r="AL57" i="51"/>
  <c r="AH37" i="51" s="1"/>
  <c r="AJ37" i="51" s="1"/>
  <c r="AK37" i="51" s="1"/>
  <c r="AF57" i="51"/>
  <c r="AK56" i="51"/>
  <c r="AH36" i="51" s="1"/>
  <c r="AJ36" i="51" s="1"/>
  <c r="AK36" i="51" s="1"/>
  <c r="AL56" i="51"/>
  <c r="AF56" i="51"/>
  <c r="AL54" i="51"/>
  <c r="AK54" i="51"/>
  <c r="AH34" i="51" s="1"/>
  <c r="AJ34" i="51" s="1"/>
  <c r="AK34" i="51" s="1"/>
  <c r="AF54" i="51"/>
  <c r="AD54" i="51" s="1"/>
  <c r="AG54" i="51" s="1"/>
  <c r="AL62" i="51"/>
  <c r="AK62" i="51"/>
  <c r="AH42" i="51" s="1"/>
  <c r="AJ42" i="51" s="1"/>
  <c r="AK42" i="51" s="1"/>
  <c r="AF62" i="51"/>
  <c r="AD73" i="51"/>
  <c r="AC34" i="51" l="1"/>
  <c r="AD34" i="51"/>
  <c r="AD62" i="51"/>
  <c r="AG62" i="51" s="1"/>
  <c r="AC42" i="51" s="1"/>
  <c r="AD67" i="51"/>
  <c r="AG67" i="51" s="1"/>
  <c r="AC47" i="51" s="1"/>
  <c r="AD66" i="51"/>
  <c r="AG66" i="51" s="1"/>
  <c r="AC46" i="51" s="1"/>
  <c r="AD64" i="51"/>
  <c r="AG64" i="51" s="1"/>
  <c r="AC44" i="51" s="1"/>
  <c r="AD65" i="51"/>
  <c r="AG65" i="51" s="1"/>
  <c r="AC45" i="51" s="1"/>
  <c r="AD68" i="51"/>
  <c r="AG68" i="51" s="1"/>
  <c r="AC48" i="51" s="1"/>
  <c r="AD63" i="51"/>
  <c r="AG63" i="51" s="1"/>
  <c r="AC43" i="51" s="1"/>
  <c r="AD56" i="51"/>
  <c r="AG56" i="51" s="1"/>
  <c r="AC36" i="51" s="1"/>
  <c r="AD60" i="51"/>
  <c r="AG60" i="51" s="1"/>
  <c r="AD61" i="51"/>
  <c r="AG61" i="51" s="1"/>
  <c r="AD57" i="51"/>
  <c r="AG57" i="51" s="1"/>
  <c r="AL59" i="51"/>
  <c r="AK59" i="51"/>
  <c r="AH39" i="51" s="1"/>
  <c r="AJ39" i="51" s="1"/>
  <c r="AK39" i="51" s="1"/>
  <c r="AF59" i="51"/>
  <c r="AK55" i="51"/>
  <c r="AH35" i="51" s="1"/>
  <c r="AJ35" i="51" s="1"/>
  <c r="AK35" i="51" s="1"/>
  <c r="AL55" i="51"/>
  <c r="AF55" i="51"/>
  <c r="AK52" i="51"/>
  <c r="AH32" i="51" s="1"/>
  <c r="AJ32" i="51" s="1"/>
  <c r="AK32" i="51" s="1"/>
  <c r="AF52" i="51"/>
  <c r="AD52" i="51" s="1"/>
  <c r="AG52" i="51" s="1"/>
  <c r="AL52" i="51"/>
  <c r="AK58" i="51"/>
  <c r="AH38" i="51" s="1"/>
  <c r="AJ38" i="51" s="1"/>
  <c r="AK38" i="51" s="1"/>
  <c r="AL58" i="51"/>
  <c r="AF58" i="51"/>
  <c r="AK53" i="51"/>
  <c r="AH33" i="51" s="1"/>
  <c r="AJ33" i="51" s="1"/>
  <c r="AK33" i="51" s="1"/>
  <c r="AL53" i="51"/>
  <c r="AF53" i="51"/>
  <c r="AD53" i="51" s="1"/>
  <c r="AL51" i="51"/>
  <c r="AK51" i="51"/>
  <c r="AH31" i="51" s="1"/>
  <c r="AJ31" i="51" s="1"/>
  <c r="AK31" i="51" s="1"/>
  <c r="AF51" i="51"/>
  <c r="AD51" i="51" s="1"/>
  <c r="AG51" i="51" s="1"/>
  <c r="AD44" i="51" l="1"/>
  <c r="AC32" i="51"/>
  <c r="AD32" i="51"/>
  <c r="AC37" i="51"/>
  <c r="AD37" i="51"/>
  <c r="AC40" i="51"/>
  <c r="AD40" i="51"/>
  <c r="AC41" i="51"/>
  <c r="AD41" i="51"/>
  <c r="AG53" i="51"/>
  <c r="AD55" i="51"/>
  <c r="AG55" i="51" s="1"/>
  <c r="AC35" i="51" s="1"/>
  <c r="AD59" i="51"/>
  <c r="AG59" i="51" s="1"/>
  <c r="AC39" i="51" s="1"/>
  <c r="AD58" i="51"/>
  <c r="AG58" i="51" s="1"/>
  <c r="AC38" i="51" s="1"/>
  <c r="Y51" i="51"/>
  <c r="AC31" i="51" l="1"/>
  <c r="AD31" i="51"/>
  <c r="AC33" i="51" l="1"/>
  <c r="AD33" i="51"/>
  <c r="X11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O'Leary Jr., Patrick</author>
    <author>Wetzel, Adrian</author>
    <author>Katherine Hsu</author>
  </authors>
  <commentList>
    <comment ref="A50" authorId="0" shapeId="0" xr:uid="{00000000-0006-0000-0100-000001000000}">
      <text>
        <r>
          <rPr>
            <sz val="9"/>
            <color indexed="81"/>
            <rFont val="Tahoma"/>
            <family val="2"/>
          </rPr>
          <t>Measure installed:  
Air Conditioners
Heat Pumps
Minisplits
Chillers
Programmable Thermostats
Economizers
Sensors
Hotel Room Controls</t>
        </r>
      </text>
    </comment>
    <comment ref="G50" authorId="0" shapeId="0" xr:uid="{00000000-0006-0000-0100-000002000000}">
      <text>
        <r>
          <rPr>
            <sz val="9"/>
            <color indexed="81"/>
            <rFont val="Tahoma"/>
            <family val="2"/>
          </rPr>
          <t>Capacity of cooling equipment in tons.  
For Thermostats select HVAC type. 
For CO2 sensors select building type.  
For hotel room controls select technology.  
For CO sensors select variable air volume or on/off.</t>
        </r>
      </text>
    </comment>
    <comment ref="K50" authorId="1" shapeId="0" xr:uid="{00000000-0006-0000-0100-000003000000}">
      <text>
        <r>
          <rPr>
            <sz val="9"/>
            <color indexed="81"/>
            <rFont val="Tahoma"/>
            <family val="2"/>
          </rPr>
          <t xml:space="preserve">For single phase and three phase equipment less than 5.4 tons select SEER rating. No entry required for 3 Phase equipment &gt; 5.4 tons.
</t>
        </r>
      </text>
    </comment>
    <comment ref="M50" authorId="1" shapeId="0" xr:uid="{00000000-0006-0000-0100-000004000000}">
      <text>
        <r>
          <rPr>
            <sz val="9"/>
            <color indexed="81"/>
            <rFont val="Tahoma"/>
            <family val="2"/>
          </rPr>
          <t xml:space="preserve">For equipment &lt;5.4 tons enter HSPF. Minimum HSPF = 7.7. For equipment &gt;= 5.4 tons enter COP. Minimum COP=3.1
</t>
        </r>
      </text>
    </comment>
    <comment ref="O50" authorId="2" shapeId="0" xr:uid="{8FFC1318-2860-47B9-8850-4888F60323AC}">
      <text>
        <r>
          <rPr>
            <sz val="10"/>
            <rFont val="Arial"/>
          </rPr>
          <t>Enter equipment size in Btuh from AHRI for SEER2. 
No entry need if cell has been blacked out.</t>
        </r>
      </text>
    </comment>
    <comment ref="S50" authorId="0" shapeId="0" xr:uid="{00000000-0006-0000-0100-000006000000}">
      <text>
        <r>
          <rPr>
            <sz val="9"/>
            <color indexed="81"/>
            <rFont val="Tahoma"/>
            <family val="2"/>
          </rPr>
          <t>Minimum Cooling Efficiency required to qualify for a rebate.  If value not given no minimum efficiency to qualify, however some measures will still require an entry.</t>
        </r>
      </text>
    </comment>
    <comment ref="U50" authorId="0" shapeId="0" xr:uid="{00000000-0006-0000-0100-000007000000}">
      <text>
        <r>
          <rPr>
            <sz val="9"/>
            <color indexed="81"/>
            <rFont val="Tahoma"/>
            <family val="2"/>
          </rPr>
          <t>Enter Cooling Efficiency Of Installed Equipment in EER or IPLV. Not required if the cell has been blacked out.</t>
        </r>
      </text>
    </comment>
    <comment ref="W50" authorId="0" shapeId="0" xr:uid="{00000000-0006-0000-0100-000008000000}">
      <text>
        <r>
          <rPr>
            <sz val="9"/>
            <color indexed="81"/>
            <rFont val="Tahoma"/>
            <family val="2"/>
          </rPr>
          <t>Number of units installed.</t>
        </r>
      </text>
    </comment>
    <comment ref="A72" authorId="1" shapeId="0" xr:uid="{00000000-0006-0000-0100-000009000000}">
      <text>
        <r>
          <rPr>
            <sz val="9"/>
            <color indexed="81"/>
            <rFont val="Tahoma"/>
            <family val="2"/>
          </rPr>
          <t xml:space="preserve">Window treatment measure installed: Shade Screens
</t>
        </r>
      </text>
    </comment>
    <comment ref="G72" authorId="1" shapeId="0" xr:uid="{00000000-0006-0000-0100-00000A000000}">
      <text>
        <r>
          <rPr>
            <sz val="9"/>
            <color indexed="81"/>
            <rFont val="Tahoma"/>
            <family val="2"/>
          </rPr>
          <t>Does the faciliity have gas heat? Yes or No.</t>
        </r>
      </text>
    </comment>
    <comment ref="I72" authorId="1" shapeId="0" xr:uid="{00000000-0006-0000-0100-00000B000000}">
      <text>
        <r>
          <rPr>
            <sz val="9"/>
            <color indexed="81"/>
            <rFont val="Tahoma"/>
            <family val="2"/>
          </rPr>
          <t>% block for Shade Screens or emisivity for Window Film</t>
        </r>
      </text>
    </comment>
    <comment ref="L72" authorId="1" shapeId="0" xr:uid="{00000000-0006-0000-0100-00000C000000}">
      <text>
        <r>
          <rPr>
            <sz val="9"/>
            <color indexed="81"/>
            <rFont val="Tahoma"/>
            <family val="2"/>
          </rPr>
          <t xml:space="preserve">North, North East, North West facing windows do not qualify.
</t>
        </r>
      </text>
    </comment>
    <comment ref="O72" authorId="1" shapeId="0" xr:uid="{00000000-0006-0000-0100-00000D000000}">
      <text>
        <r>
          <rPr>
            <sz val="9"/>
            <color indexed="81"/>
            <rFont val="Tahoma"/>
            <family val="2"/>
          </rPr>
          <t xml:space="preserve">Maximum Shading Coefficient to qualify for a rebate.
-Shading Coefficient equals SHGC X 1.15
-SHGC = Solar Heat Gain Coefficient
</t>
        </r>
      </text>
    </comment>
    <comment ref="Q72" authorId="1" shapeId="0" xr:uid="{00000000-0006-0000-0100-00000E000000}">
      <text>
        <r>
          <rPr>
            <sz val="9"/>
            <color indexed="81"/>
            <rFont val="Tahoma"/>
            <family val="2"/>
          </rPr>
          <t>Must be 0.30 or less for Shade Screens</t>
        </r>
      </text>
    </comment>
    <comment ref="S72" authorId="1" shapeId="0" xr:uid="{00000000-0006-0000-0100-00000F000000}">
      <text>
        <r>
          <rPr>
            <sz val="9"/>
            <color indexed="81"/>
            <rFont val="Tahoma"/>
            <family val="2"/>
          </rPr>
          <t xml:space="preserve">Area of the window covered in square feet. (Width x Height)
</t>
        </r>
      </text>
    </comment>
    <comment ref="A83" authorId="0" shapeId="0" xr:uid="{00000000-0006-0000-0100-000010000000}">
      <text>
        <r>
          <rPr>
            <sz val="9"/>
            <color indexed="81"/>
            <rFont val="Tahoma"/>
            <family val="2"/>
          </rPr>
          <t>Retro Commissioning</t>
        </r>
      </text>
    </comment>
    <comment ref="H83" authorId="0" shapeId="0" xr:uid="{00000000-0006-0000-0100-000011000000}">
      <text>
        <r>
          <rPr>
            <sz val="9"/>
            <color indexed="81"/>
            <rFont val="Tahoma"/>
            <family val="2"/>
          </rPr>
          <t>Select Builidng Type Category</t>
        </r>
      </text>
    </comment>
    <comment ref="O83" authorId="0" shapeId="0" xr:uid="{00000000-0006-0000-0100-000014000000}">
      <text>
        <r>
          <rPr>
            <sz val="9"/>
            <color indexed="81"/>
            <rFont val="Tahoma"/>
            <family val="2"/>
          </rPr>
          <t>Enter square footage of building</t>
        </r>
      </text>
    </comment>
    <comment ref="A96" authorId="0" shapeId="0" xr:uid="{0B8EA875-6E48-43C5-A8D5-14A25640B28C}">
      <text>
        <r>
          <rPr>
            <sz val="9"/>
            <color indexed="81"/>
            <rFont val="Tahoma"/>
            <family val="2"/>
          </rPr>
          <t>Advanced Rooftop Controls
Enter each RTU as a separate line</t>
        </r>
      </text>
    </comment>
    <comment ref="H96" authorId="0" shapeId="0" xr:uid="{072DF209-224A-43CB-965A-0FF87053410A}">
      <text>
        <r>
          <rPr>
            <sz val="9"/>
            <color indexed="81"/>
            <rFont val="Tahoma"/>
            <family val="2"/>
          </rPr>
          <t>Select Builidng Type Category</t>
        </r>
      </text>
    </comment>
    <comment ref="M96" authorId="0" shapeId="0" xr:uid="{0C53472B-EF69-4EBC-BA6D-FCF9280B1115}">
      <text>
        <r>
          <rPr>
            <sz val="9"/>
            <color indexed="81"/>
            <rFont val="Tahoma"/>
            <family val="2"/>
          </rPr>
          <t>Enter Tons of Controlled RTU Unit</t>
        </r>
      </text>
    </comment>
    <comment ref="Q96" authorId="2" shapeId="0" xr:uid="{53DE9D92-76C0-4EA1-8C4F-8A67751F30B0}">
      <text>
        <r>
          <rPr>
            <sz val="9"/>
            <color indexed="81"/>
            <rFont val="Tahoma"/>
            <charset val="1"/>
          </rPr>
          <t>enter SEER2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<sst xmlns="http://schemas.openxmlformats.org/spreadsheetml/2006/main" count="1100" uniqueCount="598">
  <si>
    <t>Business Energy Solutions</t>
  </si>
  <si>
    <t>Prescriptive Measures for Existing Facilities</t>
  </si>
  <si>
    <t>HVAC</t>
  </si>
  <si>
    <t>Submit application to:</t>
  </si>
  <si>
    <t>TEP Business Energy Solutions</t>
  </si>
  <si>
    <t>Tel: 1-866-473-8761</t>
  </si>
  <si>
    <t>tepbes@franklinenergy.com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</si>
  <si>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</si>
  <si>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</si>
  <si>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</si>
  <si>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</si>
  <si>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</si>
  <si>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5/1/2024</t>
  </si>
  <si>
    <t>TEP - Prescriptive Application</t>
  </si>
  <si>
    <r>
      <t xml:space="preserve">For </t>
    </r>
    <r>
      <rPr>
        <b/>
        <sz val="14"/>
        <color indexed="17"/>
        <rFont val="Arial"/>
        <family val="2"/>
      </rPr>
      <t>HELP</t>
    </r>
    <r>
      <rPr>
        <sz val="10"/>
        <rFont val="Arial"/>
        <family val="2"/>
      </rPr>
      <t xml:space="preserve"> hover mouse over grey cells with a red triangle in the upper right corner for additional information.  Yellow and light green shaded cells indicate Data Entry.</t>
    </r>
  </si>
  <si>
    <t xml:space="preserve">HVAC Worksheet </t>
  </si>
  <si>
    <t>Project Name:</t>
  </si>
  <si>
    <t>TEP Account #:</t>
  </si>
  <si>
    <t>Incentives: HVAC, Controls, Sensors, Retro Commissioning, and Shade Screen Measures</t>
  </si>
  <si>
    <t>Measure</t>
  </si>
  <si>
    <t>Minimum Efficiency</t>
  </si>
  <si>
    <t>Size Category (in tons)</t>
  </si>
  <si>
    <t>5.4 - 11.25</t>
  </si>
  <si>
    <t>11.25 ≤ 20</t>
  </si>
  <si>
    <t>20 &lt; 63.3</t>
  </si>
  <si>
    <t>≥63.3</t>
  </si>
  <si>
    <t>&lt; 75</t>
  </si>
  <si>
    <t>75 &lt; 150</t>
  </si>
  <si>
    <t>150-299</t>
  </si>
  <si>
    <t>300-399</t>
  </si>
  <si>
    <t>400-599</t>
  </si>
  <si>
    <t>&gt; 600</t>
  </si>
  <si>
    <t>Air Conditioning
(Single and Three Phase &lt;5.4 tons)</t>
  </si>
  <si>
    <t>15.2 SEER2</t>
  </si>
  <si>
    <t>$15/ton</t>
  </si>
  <si>
    <t>16.2 SEER2</t>
  </si>
  <si>
    <t>$30/ton</t>
  </si>
  <si>
    <t>17.1 SEER2</t>
  </si>
  <si>
    <t>$40/ton</t>
  </si>
  <si>
    <t>Heat Pumps 
(Single and Three Phase &lt;5.4 tons)</t>
  </si>
  <si>
    <t>Air Conditioning (Three Phase)</t>
  </si>
  <si>
    <t>15.99 IEER</t>
  </si>
  <si>
    <r>
      <rPr>
        <sz val="8"/>
        <color rgb="FF000000"/>
        <rFont val="Arial"/>
        <family val="2"/>
      </rPr>
      <t>$30/ton</t>
    </r>
    <r>
      <rPr>
        <vertAlign val="superscript"/>
        <sz val="8"/>
        <color rgb="FF000000"/>
        <rFont val="Arial"/>
        <family val="2"/>
      </rPr>
      <t>1</t>
    </r>
  </si>
  <si>
    <t>Air Conditioning  (Three Phase)</t>
  </si>
  <si>
    <t>14.92 IEER</t>
  </si>
  <si>
    <r>
      <rPr>
        <sz val="8"/>
        <color rgb="FF000000"/>
        <rFont val="Arial"/>
        <family val="2"/>
      </rPr>
      <t>$20/ton</t>
    </r>
    <r>
      <rPr>
        <vertAlign val="superscript"/>
        <sz val="8"/>
        <color rgb="FF000000"/>
        <rFont val="Arial"/>
        <family val="2"/>
      </rPr>
      <t>1</t>
    </r>
  </si>
  <si>
    <t>13.8 IEER</t>
  </si>
  <si>
    <t>12.75 IEER</t>
  </si>
  <si>
    <t>Heat Pumps (Three Phase)</t>
  </si>
  <si>
    <t>15.8 IEER</t>
  </si>
  <si>
    <t>14.7 IEER</t>
  </si>
  <si>
    <t>15.2 IEER</t>
  </si>
  <si>
    <t>Minisplit AC</t>
  </si>
  <si>
    <t>18.64 SEER</t>
  </si>
  <si>
    <t>$16/kbtu ($192/ton)</t>
  </si>
  <si>
    <t>Minisplit HP</t>
  </si>
  <si>
    <t>19.45 SEER</t>
  </si>
  <si>
    <t>$12/kbtu ($144/ton)</t>
  </si>
  <si>
    <t>Centrifugal Chiller</t>
  </si>
  <si>
    <r>
      <rPr>
        <sz val="8"/>
        <color rgb="FF000000"/>
        <rFont val="Arial"/>
        <family val="2"/>
      </rPr>
      <t>$10/ton</t>
    </r>
    <r>
      <rPr>
        <vertAlign val="superscript"/>
        <sz val="8"/>
        <color rgb="FF000000"/>
        <rFont val="Arial"/>
        <family val="2"/>
      </rPr>
      <t>2</t>
    </r>
  </si>
  <si>
    <t>Positive Displacement Chiller</t>
  </si>
  <si>
    <t>$/ton</t>
  </si>
  <si>
    <t>Current CAPPING</t>
  </si>
  <si>
    <t>Required Capping</t>
  </si>
  <si>
    <t>BASE TOTAL</t>
  </si>
  <si>
    <t>EFF</t>
  </si>
  <si>
    <t>EFF INC</t>
  </si>
  <si>
    <t>EFF TOTAL</t>
  </si>
  <si>
    <t>TOTAL</t>
  </si>
  <si>
    <t>Air Cooled Chiller</t>
  </si>
  <si>
    <r>
      <rPr>
        <sz val="8"/>
        <color rgb="FF000000"/>
        <rFont val="Arial"/>
        <family val="2"/>
      </rPr>
      <t>$20/ton</t>
    </r>
    <r>
      <rPr>
        <vertAlign val="superscript"/>
        <sz val="8"/>
        <color rgb="FF000000"/>
        <rFont val="Arial"/>
        <family val="2"/>
      </rPr>
      <t>3</t>
    </r>
  </si>
  <si>
    <t>Add Economizers
(3, 4 and 5 ton units only)</t>
  </si>
  <si>
    <t>See Calculator below</t>
  </si>
  <si>
    <t>$45/ton</t>
  </si>
  <si>
    <t>Programmable Thermostat</t>
  </si>
  <si>
    <t>$115 per HVAC unit</t>
  </si>
  <si>
    <t>Rebates in above chart are in dollars.</t>
  </si>
  <si>
    <t>Hotel Room Control</t>
  </si>
  <si>
    <t>$75 per room</t>
  </si>
  <si>
    <t>1.  Additional efficiency incentive of $50/ton may apply. Some combinations may be capped.</t>
  </si>
  <si>
    <t>CO Sensors</t>
  </si>
  <si>
    <t>$1000 per sensor</t>
  </si>
  <si>
    <t>2.  Additional efficiency incentive of $300/ton may apply. Some combinations may be capped.</t>
  </si>
  <si>
    <t xml:space="preserve">CO2 Sensors </t>
  </si>
  <si>
    <t>$375 per sensor</t>
  </si>
  <si>
    <t>3.  Additional efficiency incentive of $200/ton may apply. Some combinations may be capped.</t>
  </si>
  <si>
    <t xml:space="preserve">Shade Screens </t>
  </si>
  <si>
    <t>$2 per square foot</t>
  </si>
  <si>
    <t>Retro Commissioning</t>
  </si>
  <si>
    <t>$0.20 per square foot</t>
  </si>
  <si>
    <t>Advanced Rooftop Controls</t>
  </si>
  <si>
    <t>$235 per ton controlled</t>
  </si>
  <si>
    <t>cap float per ton</t>
  </si>
  <si>
    <t>Incremental cost per ton</t>
  </si>
  <si>
    <t>-10%</t>
  </si>
  <si>
    <t>+10%</t>
  </si>
  <si>
    <t>Yellow Box: Click in box and select from drop down menu</t>
  </si>
  <si>
    <t>Green Box: requires a number to be entered</t>
  </si>
  <si>
    <t>White Box:  No entry required</t>
  </si>
  <si>
    <t>AC_Unit_Three_Phase_5.39</t>
  </si>
  <si>
    <t>_5.39</t>
  </si>
  <si>
    <t>Size</t>
  </si>
  <si>
    <t>Min</t>
  </si>
  <si>
    <t>Max</t>
  </si>
  <si>
    <t>MIN BTUH</t>
  </si>
  <si>
    <t>MAX BTUH</t>
  </si>
  <si>
    <t>AC_Unit_Three_Phase_11.24</t>
  </si>
  <si>
    <t>_11.24</t>
  </si>
  <si>
    <t>_0.58_tons</t>
  </si>
  <si>
    <t>Calculator: AC, HP, Minisplits, Chillers, Economizers, Thermostats, Sensors</t>
  </si>
  <si>
    <t>AC_Unit_Three_Phase_19.9</t>
  </si>
  <si>
    <t>_19.9</t>
  </si>
  <si>
    <t>_0.75_tons</t>
  </si>
  <si>
    <t>QC</t>
  </si>
  <si>
    <t>These are ESP results in red, this sheet acts weird too though with low efficiencies</t>
  </si>
  <si>
    <t>Size/Usage Category</t>
  </si>
  <si>
    <t>SEER2 Rating</t>
  </si>
  <si>
    <t>Heating Effciency
(COP or HSPF)</t>
  </si>
  <si>
    <t>Actual Size (Btuh)</t>
  </si>
  <si>
    <t>Size in Tons</t>
  </si>
  <si>
    <t>System/Unit Efficiency
(IEER or IPLV)</t>
  </si>
  <si>
    <t>Quantity</t>
  </si>
  <si>
    <t>Total</t>
  </si>
  <si>
    <t>Type</t>
  </si>
  <si>
    <t>Complete?</t>
  </si>
  <si>
    <t>IS ERROR</t>
  </si>
  <si>
    <t>Size ERROR</t>
  </si>
  <si>
    <t>Efficiency ERROR</t>
  </si>
  <si>
    <t>Uncapped</t>
  </si>
  <si>
    <t>Wrong CAT Error for Single Phase AND Three Phase &lt;5.4 Tons</t>
  </si>
  <si>
    <t>low efficiency allowed</t>
  </si>
  <si>
    <t>eligibility threshold</t>
  </si>
  <si>
    <t>Published Efficiency Threshold</t>
  </si>
  <si>
    <t>Base</t>
  </si>
  <si>
    <t>Eff Inc</t>
  </si>
  <si>
    <t>Capping per UNIT</t>
  </si>
  <si>
    <t>Chiller Tier 2 Eff</t>
  </si>
  <si>
    <t>Chiller Tier</t>
  </si>
  <si>
    <t>AC_Unit_Three_Phase_63.2</t>
  </si>
  <si>
    <t>_63.2</t>
  </si>
  <si>
    <t>_1.00_tons</t>
  </si>
  <si>
    <t>base inc</t>
  </si>
  <si>
    <t>additional inc</t>
  </si>
  <si>
    <t>below min eff check</t>
  </si>
  <si>
    <t>alt sizes</t>
  </si>
  <si>
    <t>AC_Unit_Three_Phase_100</t>
  </si>
  <si>
    <t>_100</t>
  </si>
  <si>
    <t>_1.25_tons</t>
  </si>
  <si>
    <t>√</t>
  </si>
  <si>
    <t>15.5 SEER2 returns an incentive</t>
  </si>
  <si>
    <t>Good</t>
  </si>
  <si>
    <t>set 15.2 SEER2 min in ESP</t>
  </si>
  <si>
    <t>HP_Unit_Three_Phase_5.39</t>
  </si>
  <si>
    <t>_2.0_tons</t>
  </si>
  <si>
    <t>ok for low efficiencies</t>
  </si>
  <si>
    <t>HP_Unit_Three_Phase_11.24</t>
  </si>
  <si>
    <t>_2.0_tons_1Phase</t>
  </si>
  <si>
    <t>? hi incentives for low efficiencies (&lt; min eff)</t>
  </si>
  <si>
    <t>updated incentives for $15/30/40 base, removed kicker</t>
  </si>
  <si>
    <t>HP_Unit_Three_Phase_19.9</t>
  </si>
  <si>
    <t>_2.5_tons</t>
  </si>
  <si>
    <t>HP_Unit_Three_Phase_63.2</t>
  </si>
  <si>
    <t>_2.5_tons_1Phase</t>
  </si>
  <si>
    <t>HP_Unit_Three_Phase_100</t>
  </si>
  <si>
    <t>_3.0_tons</t>
  </si>
  <si>
    <t>caps at $10K in ESP, not this worksheet</t>
  </si>
  <si>
    <t>updated ESP placeholder cost to 100k (realistically shouldn't cap)</t>
  </si>
  <si>
    <t>X</t>
  </si>
  <si>
    <t>10,15 ton not working at min IEER in ESP</t>
  </si>
  <si>
    <t>corrected ESP for 10, 15 ton</t>
  </si>
  <si>
    <t>_3.0_tons_1Phase</t>
  </si>
  <si>
    <t>wks works for less than min eff</t>
  </si>
  <si>
    <t>ESP is per ton not BTU</t>
  </si>
  <si>
    <t>ESP input is per kBtu, not Tons. same incentive as wks</t>
  </si>
  <si>
    <t>needs a minimum</t>
  </si>
  <si>
    <t>Tier1 Increm</t>
  </si>
  <si>
    <t>Tier2 Increm</t>
  </si>
  <si>
    <t>Tier 1 Cap</t>
  </si>
  <si>
    <t>Tier 2 Cap</t>
  </si>
  <si>
    <t>_3.5_tons</t>
  </si>
  <si>
    <t>Chiller_Centrifugal&lt;150</t>
  </si>
  <si>
    <t>_3.5_tons_1Phase</t>
  </si>
  <si>
    <t>200ton doesn't work at 0.34 IPLV?100 at .37 IPLV in wks, ESP does work</t>
  </si>
  <si>
    <t>corrected wks</t>
  </si>
  <si>
    <t>Chiller_Centrifugal150-299</t>
  </si>
  <si>
    <t>_4.0_tons</t>
  </si>
  <si>
    <t>Chiller_Centrifugal300-399</t>
  </si>
  <si>
    <t>_4.0_tons_1Phase</t>
  </si>
  <si>
    <t>Chiller_Centrifugal400-599</t>
  </si>
  <si>
    <t>_5.0_tons</t>
  </si>
  <si>
    <t>Chiller_Centrifugal≥ 600</t>
  </si>
  <si>
    <t>_5.0_tons_1Phase</t>
  </si>
  <si>
    <t>Chiller_Positive_Displacement&lt;75</t>
  </si>
  <si>
    <t>&lt;150</t>
  </si>
  <si>
    <t>Chiller_Positive_Displacement75-149</t>
  </si>
  <si>
    <t>&lt;5.4_tons</t>
  </si>
  <si>
    <t>Chiller_Positive_Displacement150-299</t>
  </si>
  <si>
    <t>&lt;6 Tons</t>
  </si>
  <si>
    <t>Chiller_Positive_Displacement300-599</t>
  </si>
  <si>
    <t>≤150</t>
  </si>
  <si>
    <t>Chiller_Positive_Displacement≥ 600</t>
  </si>
  <si>
    <t>≥11.25 tons and &lt;20 tons</t>
  </si>
  <si>
    <t>Note: D N Q means Does Not Qualify</t>
  </si>
  <si>
    <t>Chiller_Air_Cooled&lt;150</t>
  </si>
  <si>
    <t>≥150</t>
  </si>
  <si>
    <t>Page 2 of 3</t>
  </si>
  <si>
    <t xml:space="preserve">HVAC Specifications &amp; Worksheet </t>
  </si>
  <si>
    <t>Chiller_Air_Cooled≥150</t>
  </si>
  <si>
    <t>≥20 Tons</t>
  </si>
  <si>
    <t>Calculator: Shade Screens</t>
  </si>
  <si>
    <t>≥20_ tons</t>
  </si>
  <si>
    <t>Gas Heat</t>
  </si>
  <si>
    <t>Category</t>
  </si>
  <si>
    <t>Window Location</t>
  </si>
  <si>
    <t>Max Shading Coefficient</t>
  </si>
  <si>
    <t>Shading Coefficient</t>
  </si>
  <si>
    <t>Total Square Footage</t>
  </si>
  <si>
    <t>Status</t>
  </si>
  <si>
    <t>Shading Coef error</t>
  </si>
  <si>
    <t>Mismatch Category?</t>
  </si>
  <si>
    <t>≥ 600</t>
  </si>
  <si>
    <t>≥5.4 tons and &lt;11.25 tons</t>
  </si>
  <si>
    <t>≥63.3_ tons</t>
  </si>
  <si>
    <t>11 &lt; 20 Tons</t>
  </si>
  <si>
    <t>11.25&lt;20 tons</t>
  </si>
  <si>
    <t>20&lt;63.3 tons</t>
  </si>
  <si>
    <t>5.4&lt;11.25 tons</t>
  </si>
  <si>
    <t>6&lt;11 Tons</t>
  </si>
  <si>
    <t>Calculator: Retro Commissioning</t>
  </si>
  <si>
    <t>Building Type</t>
  </si>
  <si>
    <t>Building Square Footage</t>
  </si>
  <si>
    <t>Unitary Air-Cooled PKG AC 3 ton</t>
  </si>
  <si>
    <t>Unitary Air-Cooled PKG AC 4 ton</t>
  </si>
  <si>
    <t>Unitary Air-Cooled PKG AC 5 ton</t>
  </si>
  <si>
    <t>&lt;75</t>
  </si>
  <si>
    <t>75-149</t>
  </si>
  <si>
    <t>300-599</t>
  </si>
  <si>
    <t>Calculator: Advanced Rooftop Controls</t>
  </si>
  <si>
    <t>Nominal Tons of Controlled RTU Unit</t>
  </si>
  <si>
    <t>SEER2 (if available)</t>
  </si>
  <si>
    <t>Project Completion Date</t>
  </si>
  <si>
    <t>Rebate Total</t>
  </si>
  <si>
    <t>Chiller_Centrifugal</t>
  </si>
  <si>
    <t>Chiller_Positive Displacement</t>
  </si>
  <si>
    <t>Chiller_Reciprocating</t>
  </si>
  <si>
    <t>Chiller_Air_Cooled</t>
  </si>
  <si>
    <t>Rebates cannot exceed 75%</t>
  </si>
  <si>
    <t>of the incremental measure cost.</t>
  </si>
  <si>
    <t>Equipment sizing calculations (load calcs) may be requested as part of the application documentation.</t>
  </si>
  <si>
    <t>≥300</t>
  </si>
  <si>
    <t>Manufacturer's specification sheet showing AHRI IEER, ARI SEER2 or ARI IPLV must accompany the final application.</t>
  </si>
  <si>
    <t>IPLV = Integrated Part Load Value, IEER = Integrated Energy Efficiency Ratio, SEER2 = Seasonal Energy Efficiency Ratio 2</t>
  </si>
  <si>
    <r>
      <rPr>
        <b/>
        <sz val="10"/>
        <rFont val="Calibri"/>
        <family val="2"/>
      </rPr>
      <t>≥</t>
    </r>
    <r>
      <rPr>
        <b/>
        <sz val="11"/>
        <rFont val="Arial"/>
        <family val="2"/>
      </rPr>
      <t xml:space="preserve"> 600</t>
    </r>
  </si>
  <si>
    <t>COP = Coefficient of Performance, HSPF2 = Heating Seasonal Performance Factor 2</t>
  </si>
  <si>
    <t>Measure Specifications</t>
  </si>
  <si>
    <t>All work shall be performed in accordance with all applicable professional standards and comply with all applicable federal, state, and local laws, ordinances, codes and regulations.</t>
  </si>
  <si>
    <r>
      <rPr>
        <b/>
        <sz val="10"/>
        <color rgb="FF000000"/>
        <rFont val="Arial"/>
      </rPr>
      <t xml:space="preserve">Air-Cooled Air Conditioning and Heat Pumps
</t>
    </r>
    <r>
      <rPr>
        <sz val="10"/>
        <color rgb="FF000000"/>
        <rFont val="Arial"/>
      </rPr>
      <t>New air-cooled air conditioning units or heat pumps that meet or exceed the qualifying Seasonal Energy Efficiency Ratio 2 (SEER2) or Integrated Energy Efficiency Ratio (IEER) shown in the Cooling Incentive Worksheet Table are eligible for an incentive. They can be either split systems or single packaged units. Evaporative coolers and water source heat pumps do not qualify under this program but may qualify under the Custom Incentive Program. All packaged and split system cooling equipment must meet Air-Conditioning, Heating and Refrigeration Institute (AHRI) standards (210/240, or 340/360), be UL listed, and use a minimum ozone-depleting refrigerant (e.g., HCFC or HFC).
A manufacturer's specification sheet indicating the system SEER2/IEER must accompany the application. Final invoices must indicate the number of units and sizes with model numbers matching the specification sheets.</t>
    </r>
  </si>
  <si>
    <r>
      <rPr>
        <b/>
        <sz val="10"/>
        <color rgb="FF000000"/>
        <rFont val="Arial"/>
      </rPr>
      <t xml:space="preserve">Water and Air-Cooled Chillers
</t>
    </r>
    <r>
      <rPr>
        <sz val="10"/>
        <color rgb="FF000000"/>
        <rFont val="Arial"/>
      </rPr>
      <t>Chillers that have a rated kW/ton for the Integrated Part Load Value (IPLV) conditions that is less than or equal to the qualifying efficiency shown in the Incentive Table above are eligible for an incentive. The chiller efficiency rating must be based on AHRI Standard 550/590-2011 for IPLV conditions and not based on full-load conditions. The chillers must meet AHRI Standard 550/590-2011, be UL listed, and use a minimum ozone-depleting refrigerant (e.g., HCFC or HFC).  The AHRI net capacity value should be used to determine the chiller tons.
A manufacturer specification/performance sheet with the rated kW/Ton-IPLV or COP-IPLV must accompany the application.  Final invoices must indicate chiller model number and quanity of chillers.</t>
    </r>
  </si>
  <si>
    <r>
      <rPr>
        <b/>
        <sz val="10"/>
        <color rgb="FF000000"/>
        <rFont val="Arial"/>
      </rPr>
      <t xml:space="preserve">Programmable Thermostats
</t>
    </r>
    <r>
      <rPr>
        <sz val="10"/>
        <color rgb="FF000000"/>
        <rFont val="Arial"/>
      </rPr>
      <t>Equipment must replace a non-programmable thermostat. Thermostat must be capable of 7-day, 5-2, or 5-1-1 programming.  Programmable thermostats installed in hotel/motel guest rooms are not eligible for this incentive.
A manufacturer's specification sheet must accompany the application.  Final invoices must indicate model number and quanity.</t>
    </r>
  </si>
  <si>
    <r>
      <t xml:space="preserve">Hotel Room Occupancy Controls
</t>
    </r>
    <r>
      <rPr>
        <sz val="10"/>
        <rFont val="Arial"/>
        <family val="2"/>
      </rPr>
      <t>Install HVAC control devices to automatically setback room temperature when the room is unoccupied.  Acceptable technologies include passive and/or dual technology room occupancy sensors and room keycard activation.  Room technologies may be incorporated into a front desk arrival system.  Incentive is paid per rentable guest room. 
A manufacturer's specification sheet must accompany the application.  Final invoices must indicate model number and quanity.</t>
    </r>
  </si>
  <si>
    <r>
      <rPr>
        <b/>
        <sz val="10"/>
        <color rgb="FF000000"/>
        <rFont val="Arial"/>
      </rPr>
      <t xml:space="preserve">Carbon Monoxide (CO) Sensors
</t>
    </r>
    <r>
      <rPr>
        <sz val="10"/>
        <color rgb="FF000000"/>
        <rFont val="Arial"/>
      </rPr>
      <t>New CO sensors installed to control parking garage exhaust fans are eligible for a rebate.  Sensors must control fan motor on/off or VSD speed.  New VFDs associated with this measure are eligible for an additional VFD incentive.  Typical sensor coverage is approximately 7,000 to 10,000 square feet.  CO levels shall be in compliance with state, municipal or local codes.
A manufacturer's specification sheet must accompany the application.  Final invoices must indicate the number of sensors with model numbers matching the specification sheets.  A schedule indicating sensor type and installation location must also be submitted.</t>
    </r>
  </si>
  <si>
    <r>
      <rPr>
        <b/>
        <sz val="10"/>
        <color rgb="FF000000"/>
        <rFont val="Arial"/>
      </rPr>
      <t xml:space="preserve">Carbon Dioxide (CO2) Sensors
</t>
    </r>
    <r>
      <rPr>
        <sz val="10"/>
        <color rgb="FF000000"/>
        <rFont val="Arial"/>
      </rPr>
      <t>This measure utilizes demand-controlled ventilation by installing CO2 sensors to reduce the conditioning of outside air.  CO2 sensors must control the ventilation system. Sensors used solely for data acquisition purposes are not eligible.  Carbon dioxide sensor must be installed in conjunction with a controls-governed outside air damper.  CO2 levels shall be in compliance with state, municipal, or local codes. Outside air CO2 reference sensors are ineligible.
A manufacturer's specification sheet must accompany the application.  Final invoices must indicate the number of sensors with model numbers matching the specification sheets.  A schedule indicating sensor type and installation location must also be submitted.</t>
    </r>
  </si>
  <si>
    <t>Page 3 of 3</t>
  </si>
  <si>
    <t>Measure Specifications, continued</t>
  </si>
  <si>
    <r>
      <rPr>
        <b/>
        <sz val="10"/>
        <color rgb="FF000000"/>
        <rFont val="Arial"/>
      </rPr>
      <t xml:space="preserve">Minisplit AC/HP
</t>
    </r>
    <r>
      <rPr>
        <sz val="10"/>
        <color rgb="FF000000"/>
        <rFont val="Arial"/>
      </rPr>
      <t>New minisplit air conditioning units or heat pumps that meet EnergySTAR qualifications must have both a new condenser and a new coil that meets AHRI specifications and where the matched system performance (condenser and coil). Equipment must be used to meet both the heating and cooling loads of the facility.
A manufacturer's specification sheet indicating the system SEER2/IEER must accompany the application. Final invoices must indicate the number of units and sizes with model numbers matching the specification sheets.</t>
    </r>
  </si>
  <si>
    <r>
      <rPr>
        <b/>
        <sz val="10"/>
        <rFont val="Arial"/>
        <family val="2"/>
      </rPr>
      <t>Economizers</t>
    </r>
    <r>
      <rPr>
        <sz val="10"/>
        <rFont val="Arial"/>
        <family val="2"/>
      </rPr>
      <t xml:space="preserve">
This measure consists of retrofitting air-side economizers on existing HVAC units.  New HVAC units with economizers are eligible for rebate under certain conditions noted below.  Economizer must be capable of modulating to full open position (95% or more).  Replacement of existing economizers are not eligible for rebate, unless existing economizer has been non-functional for 2 years or more (pre-application required for existing economizer replacement).  New HVAC units with economizer are not eligible for rebate where the economizer is required by ASHRAE 90.1-2010, which requires economizers on units on HVAC units unless specific efficiencies (per size class) are met.  Incentives are based on capacity of retrofitted/new HVAC units with nominal capacities of 3, 4 and 5 tons only.
An HVAC unit schedule must be submitted indicating the quantity, model number, capacity, and yes/no on existing economizer, proposed retrofit economizer model number.  Final invoices must indicate economizer model number, quantity purchased/installed. Manufacturer's specification sheets for economizer(s) must be submitted.</t>
    </r>
  </si>
  <si>
    <r>
      <t xml:space="preserve">Shade Screens
</t>
    </r>
    <r>
      <rPr>
        <sz val="10"/>
        <rFont val="Arial"/>
        <family val="2"/>
      </rPr>
      <t>This measure consists of adding fixed exterior physical shading screens to windows.  This measure is applicable only to retrofit of existing facilites.  Windows with east, south, and west exposures are eligible.  Shading Coefficient must be 0.30 or less at a thirty-degree profile angle.  (Shading Coefficient equals SHGC X 1.15.  SHGC = Solar Heat Gain Coefficient)  Interior window shades such as blinds and drapes and movable door screens are not eligible.
A window schedule must accompany the application indicating the quantity, current window type, actual window surface dimensions, window orientation, brand, model number of screen or window film material.  Final invoices must indicate screen or window film material model number, quantity (square feet) of material purchased/installed.  Manufacturer's specification sheets indicating the Shading Coefficient or the SHGC must also be submitted.</t>
    </r>
  </si>
  <si>
    <r>
      <t xml:space="preserve">Advanced Rooftop Controls
</t>
    </r>
    <r>
      <rPr>
        <sz val="10"/>
        <rFont val="Arial"/>
        <family val="2"/>
      </rPr>
      <t>To qualify, the following must be installed:
- Demand Control Ventilation controlling fan with VFD based on CO2 sensor input 
- DCV is integrated into Energy Management System.
- Economizer is integrated into Energy Management System with DCV.
An existing system with VFD, EMS, or economizer is not eligible.</t>
    </r>
  </si>
  <si>
    <t>FOR OFFICE USE ONLY - REVIEWER NOTES</t>
  </si>
  <si>
    <t>Reviewed By:</t>
  </si>
  <si>
    <t>Date:</t>
  </si>
  <si>
    <t>QC By:</t>
  </si>
  <si>
    <t>capped</t>
  </si>
  <si>
    <t>Tier 1 chiller efficiency</t>
  </si>
  <si>
    <t>Tier 2 chiller efficiency</t>
  </si>
  <si>
    <t>Size Category</t>
  </si>
  <si>
    <t>MeasureSize Category</t>
  </si>
  <si>
    <t>Min Efficiency</t>
  </si>
  <si>
    <t>Base Incentive</t>
  </si>
  <si>
    <t>Efficiency Incentive</t>
  </si>
  <si>
    <t xml:space="preserve">Min </t>
  </si>
  <si>
    <t>Tier 1 CAP</t>
  </si>
  <si>
    <t>Capping Units</t>
  </si>
  <si>
    <t>Min EER</t>
  </si>
  <si>
    <t>Min IEER</t>
  </si>
  <si>
    <t>Min COP</t>
  </si>
  <si>
    <t>AC_Unit_Single_Phase</t>
  </si>
  <si>
    <t>HP_Unit_Single_Phase</t>
  </si>
  <si>
    <t>AC_Unit_Three_Phase</t>
  </si>
  <si>
    <t>HP_Unit_Three_Phase</t>
  </si>
  <si>
    <t>Minisplit_AC</t>
  </si>
  <si>
    <t>Minisplit_HP</t>
  </si>
  <si>
    <t>Chiller_Positive_Displacement</t>
  </si>
  <si>
    <t>Programable_Thermostat</t>
  </si>
  <si>
    <t>PTAC</t>
  </si>
  <si>
    <t>PTHP</t>
  </si>
  <si>
    <t>VRF Size</t>
  </si>
  <si>
    <t>Heat Recovery / Gas Heat</t>
  </si>
  <si>
    <t>CO2_Sensors</t>
  </si>
  <si>
    <t>CO_Sensors</t>
  </si>
  <si>
    <t>Window_Film</t>
  </si>
  <si>
    <t>Shade_Screen</t>
  </si>
  <si>
    <t>Metric</t>
  </si>
  <si>
    <t>Retro_Commissioning</t>
  </si>
  <si>
    <t>Heat_Pump_Water_Heater</t>
  </si>
  <si>
    <t>Advanced_Rooftop_Controls</t>
  </si>
  <si>
    <t>AC_Unit_Three_Phase5.4&lt;11.25 tons</t>
  </si>
  <si>
    <t>VRF_Air_Conditioners_Air_Cooled≥5.4 tons and &lt;11.25 tons</t>
  </si>
  <si>
    <t>11.2 EER, 13.1 IEER</t>
  </si>
  <si>
    <t>AC</t>
  </si>
  <si>
    <t>Dual Technology</t>
  </si>
  <si>
    <t>9,000_btu/h</t>
  </si>
  <si>
    <t>Yes</t>
  </si>
  <si>
    <t>Full Service Restaurant</t>
  </si>
  <si>
    <t>On/Off (Shopping/Airport Profile)</t>
  </si>
  <si>
    <t>Emissivity &lt; 0.67</t>
  </si>
  <si>
    <t>80% Block</t>
  </si>
  <si>
    <t>East</t>
  </si>
  <si>
    <t>COP</t>
  </si>
  <si>
    <t>College/University</t>
  </si>
  <si>
    <r>
      <t xml:space="preserve">Restaurant Full Service </t>
    </r>
    <r>
      <rPr>
        <sz val="10"/>
        <rFont val="Calibri"/>
        <family val="2"/>
      </rPr>
      <t xml:space="preserve">≥ </t>
    </r>
    <r>
      <rPr>
        <sz val="10"/>
        <rFont val="Arial"/>
        <family val="2"/>
      </rPr>
      <t>80 Gallon Tank(s)</t>
    </r>
  </si>
  <si>
    <t>Btuh</t>
  </si>
  <si>
    <t>AC_Unit_Three_Phase11.25&lt;20 tons</t>
  </si>
  <si>
    <t>VRF_Air_Conditioners_Air_Cooled≥11.25 tons and &lt;20 tons</t>
  </si>
  <si>
    <t>11.0 EER, 12.9 IEER</t>
  </si>
  <si>
    <t>HP</t>
  </si>
  <si>
    <t>Passive Infrared</t>
  </si>
  <si>
    <t>12,000_btu/h</t>
  </si>
  <si>
    <t>No</t>
  </si>
  <si>
    <t>Hospital</t>
  </si>
  <si>
    <t>VAV (Shopping/Airport Profile)</t>
  </si>
  <si>
    <t>Emissivity = 0.67</t>
  </si>
  <si>
    <t>90% Block</t>
  </si>
  <si>
    <t>Southeast</t>
  </si>
  <si>
    <t>Energy Factor</t>
  </si>
  <si>
    <t>Grocery</t>
  </si>
  <si>
    <r>
      <t xml:space="preserve">Restaurant Quick Service </t>
    </r>
    <r>
      <rPr>
        <sz val="10"/>
        <rFont val="Calibri"/>
        <family val="2"/>
      </rPr>
      <t>≥</t>
    </r>
    <r>
      <rPr>
        <sz val="10"/>
        <rFont val="Arial"/>
        <family val="2"/>
      </rPr>
      <t xml:space="preserve"> 80 Gallon Tank(s)</t>
    </r>
  </si>
  <si>
    <t>Tons</t>
  </si>
  <si>
    <t>AC_Unit_Three_Phase20&lt;63.3 tons</t>
  </si>
  <si>
    <t>VRF_Air_Conditioners_Air_Cooled≥20 tons</t>
  </si>
  <si>
    <t>10.0 EER, 11.6 IEER</t>
  </si>
  <si>
    <t>Key Card Activation</t>
  </si>
  <si>
    <t>15,000_btu/h</t>
  </si>
  <si>
    <t>≥20 tons</t>
  </si>
  <si>
    <t>Large Hotel</t>
  </si>
  <si>
    <t>On/Off (Office/Events Profile)</t>
  </si>
  <si>
    <r>
      <t xml:space="preserve">Emissivity </t>
    </r>
    <r>
      <rPr>
        <sz val="10"/>
        <rFont val="Calibri"/>
        <family val="2"/>
      </rPr>
      <t>≤</t>
    </r>
    <r>
      <rPr>
        <sz val="10"/>
        <rFont val="Arial"/>
        <family val="2"/>
      </rPr>
      <t xml:space="preserve"> 0.82</t>
    </r>
  </si>
  <si>
    <t>South</t>
  </si>
  <si>
    <t>Hotel/Motel: Common Areas</t>
  </si>
  <si>
    <t>AC_Unit_Three_Phase≥63.3_ tons</t>
  </si>
  <si>
    <t>VRF_Heat_Pump_Air_cooled≥5.4 tons and &lt;11.25 tonsYes</t>
  </si>
  <si>
    <t>10.8 EER, 12.7 IEER, 3.3 COP</t>
  </si>
  <si>
    <t>Large Office</t>
  </si>
  <si>
    <t>VAV (Office/Events Profile)</t>
  </si>
  <si>
    <t>Southwest</t>
  </si>
  <si>
    <t>Hotel/Motel: Guest Rooms</t>
  </si>
  <si>
    <t>HP_Unit_Three_Phase5.4&lt;11.25 tons</t>
  </si>
  <si>
    <t>VRF_Heat_Pump_Air_cooled≥11.25 tons and &lt;20 tonsYes</t>
  </si>
  <si>
    <t>10.4 EER, 12.1 IEER, 3.2 COP</t>
  </si>
  <si>
    <t>Medium Office</t>
  </si>
  <si>
    <t>West</t>
  </si>
  <si>
    <t>Industrial: 1 shift</t>
  </si>
  <si>
    <t>HP_Unit_Three_Phase11.25&lt;20 tons</t>
  </si>
  <si>
    <t>VRF_Heat_Pump_Air_cooled≥20 tonsYes</t>
  </si>
  <si>
    <t>9.3 EER, 10.8 IEER, 3.2 COP</t>
  </si>
  <si>
    <t>Midrise Apartment</t>
  </si>
  <si>
    <t>Industrial: 2 shifts</t>
  </si>
  <si>
    <t>HP_Unit_Three_Phase≥20_ tons</t>
  </si>
  <si>
    <t>VRF_Heat_Pump_Air_cooled≥5.4 tons and &lt;11.25 tonsNo</t>
  </si>
  <si>
    <t>11.0 EER, 12.9 IEER, 3.3 COP</t>
  </si>
  <si>
    <t>Outpatient</t>
  </si>
  <si>
    <t>Industrial: 3 shifts</t>
  </si>
  <si>
    <t>per ton</t>
  </si>
  <si>
    <t>VRF_Heat_Pump_Air_cooled≥11.25 tons and &lt;20 tonsNo</t>
  </si>
  <si>
    <t>10.6 EER, 12.3 IEER, 3.2 COP</t>
  </si>
  <si>
    <t>Quick Service Restaurant</t>
  </si>
  <si>
    <t>K-12 School</t>
  </si>
  <si>
    <t>VRF_Heat_Pump_Air_cooled≥20 tonsNo</t>
  </si>
  <si>
    <t>9.5 EER, 11.0 IEER, 3.2 COP</t>
  </si>
  <si>
    <t>Small Hotel</t>
  </si>
  <si>
    <t>Medical: Inpatient</t>
  </si>
  <si>
    <t>VRF_Heat_Pump_Water_Source≥5.4 tons and &lt;11.25 tonsYes</t>
  </si>
  <si>
    <t>11.8 EER, 4.2 COP</t>
  </si>
  <si>
    <t>Hotel_Room_Control_AC_Only</t>
  </si>
  <si>
    <t>Small Office</t>
  </si>
  <si>
    <t>Medical: Outpatient</t>
  </si>
  <si>
    <t>VRF_Heat_Pump_Water_Source≥11.25 tons and &lt;20 tonsYes</t>
  </si>
  <si>
    <t>9.8 EER, 3.9 COP</t>
  </si>
  <si>
    <t>Hotel_Room_Control_Heat_Pumps</t>
  </si>
  <si>
    <t>Strip Mall</t>
  </si>
  <si>
    <t>Miscellaneous</t>
  </si>
  <si>
    <t>VRF_Heat_Pump_Water_Source≥20 tonsYes</t>
  </si>
  <si>
    <t>Supermarket</t>
  </si>
  <si>
    <t>Office</t>
  </si>
  <si>
    <t>VRF_Heat_Pump_Water_Source≥5.4 tons and &lt;11.25 tonsNo</t>
  </si>
  <si>
    <t>12.0 EER, 4.2 COP</t>
  </si>
  <si>
    <t>Add_Economizers</t>
  </si>
  <si>
    <t>Primary School</t>
  </si>
  <si>
    <t>Public Assembly</t>
  </si>
  <si>
    <t>VRF_Heat_Pump_Water_Source≥11.25 tons and &lt;20 tonsNo</t>
  </si>
  <si>
    <t>10.0 EER, 3.9 COP</t>
  </si>
  <si>
    <t>Secondary School</t>
  </si>
  <si>
    <t>Restaurant</t>
  </si>
  <si>
    <t>VRF_Heat_Pump_Water_Source≥20 tonsNo</t>
  </si>
  <si>
    <r>
      <t>CO</t>
    </r>
    <r>
      <rPr>
        <vertAlign val="subscript"/>
        <sz val="9"/>
        <rFont val="Arial"/>
        <family val="2"/>
      </rPr>
      <t>2</t>
    </r>
    <r>
      <rPr>
        <sz val="9"/>
        <rFont val="Arial"/>
        <family val="2"/>
      </rPr>
      <t>_Sensors</t>
    </r>
  </si>
  <si>
    <t>2.0_tons_1Phase</t>
  </si>
  <si>
    <t>2.5_tons_1Phase</t>
  </si>
  <si>
    <t>3.0_tons_1Phase</t>
  </si>
  <si>
    <t>3.5_tons_1Phase</t>
  </si>
  <si>
    <t>4.0_tons_1Phase</t>
  </si>
  <si>
    <t>5.0_tons_1Phase</t>
  </si>
  <si>
    <t>Retail: Enclosed and Strip Malls</t>
  </si>
  <si>
    <t>VRF_Heat_Pump_Groundwater_Source≥5.4 tons and &lt;11.25 tonsYes</t>
  </si>
  <si>
    <t>16.0 EER, 3.6 COP</t>
  </si>
  <si>
    <t>15.2_SEER2</t>
  </si>
  <si>
    <t>14.3_SEER2</t>
  </si>
  <si>
    <t>Retail: Non-Mall</t>
  </si>
  <si>
    <t>VRF_Heat_Pump_Groundwater_Source≥11.25 tons and &lt;20 tonsYes</t>
  </si>
  <si>
    <t>13.6 EER, 3.3 COP</t>
  </si>
  <si>
    <t>16.2_SEER2</t>
  </si>
  <si>
    <t>Warehouse and Storage</t>
  </si>
  <si>
    <r>
      <rPr>
        <sz val="9"/>
        <color indexed="8"/>
        <rFont val="Calibri"/>
        <family val="2"/>
      </rPr>
      <t>≥</t>
    </r>
    <r>
      <rPr>
        <sz val="9"/>
        <color indexed="8"/>
        <rFont val="Arial"/>
        <family val="2"/>
      </rPr>
      <t>17.1_SEER2</t>
    </r>
  </si>
  <si>
    <t>VRF_Heat_Pump_Groundwater_Source≥20 tonsYes</t>
  </si>
  <si>
    <t>Programable_ThermostatAC</t>
  </si>
  <si>
    <t>per Unit</t>
  </si>
  <si>
    <t>VRF_Heat_Pump_Groundwater_Source≥5.4 tons and &lt;11.25 tonsNo</t>
  </si>
  <si>
    <t>16.2 EER, 3.6 COP</t>
  </si>
  <si>
    <t>Programable_ThermostatHP</t>
  </si>
  <si>
    <t>VRF_Heat_Pump_Groundwater_Source≥11.25 tons and &lt;20 tonsNo</t>
  </si>
  <si>
    <t>13.8 EER. 3.3 COP</t>
  </si>
  <si>
    <t>VRF_Air_Conditioners_Air_Cooled</t>
  </si>
  <si>
    <t>AC_Unit_Single_Phase_2.0_tons_1Phase15.2_SEER2</t>
  </si>
  <si>
    <t>15.20 SEER2</t>
  </si>
  <si>
    <t>VRF_Heat_Pump_Groundwater_Source≥20 tonsNo</t>
  </si>
  <si>
    <t>VRF_Heat_Pump_Air_cooled</t>
  </si>
  <si>
    <t>AC_Unit_Single_Phase_2.5_tons_1Phase15.2_SEER2</t>
  </si>
  <si>
    <t>VRF_Heat_Pump_Ground_Source≥5.4 tons and &lt;11.25 tonsYes</t>
  </si>
  <si>
    <t>13.2 EER, 3.1 COP</t>
  </si>
  <si>
    <t>VRF_Heat_Pump_Water_Source</t>
  </si>
  <si>
    <t>AC_Unit_Single_Phase_3.0_tons_1Phase15.2_SEER2</t>
  </si>
  <si>
    <t>VRF_Heat_Pump_Ground_Source≥11.25 tons and &lt;20 tonsYes</t>
  </si>
  <si>
    <t>10.8 EER, 2.8 COP</t>
  </si>
  <si>
    <t>VRF_Heat_Pump_Groundwater_Source</t>
  </si>
  <si>
    <t>AC_Unit_Single_Phase_3.5_tons_1Phase15.2_SEER2</t>
  </si>
  <si>
    <t>VRF_Heat_Pump_Ground_Source≥20 tonsYes</t>
  </si>
  <si>
    <t>VRF_Heat_Pump_Ground_Source</t>
  </si>
  <si>
    <t>AC_Unit_Single_Phase_4.0_tons_1Phase15.2_SEER2</t>
  </si>
  <si>
    <t>VRF_Heat_Pump_Ground_Source≥5.4 tons and &lt;11.25 tonsNo</t>
  </si>
  <si>
    <t>13.4 EER, 3.1 COP</t>
  </si>
  <si>
    <t>AC_Unit_Single_Phase_5.0_tons_1Phase15.2_SEER2</t>
  </si>
  <si>
    <t>VRF_Heat_Pump_Ground_Source≥11.25 tons and &lt;20 tonsNo</t>
  </si>
  <si>
    <t>11.0 EER, 2.8 COP</t>
  </si>
  <si>
    <t>AC_Unit_Single_Phase_2.0_tons_1Phase16.2_SEER2</t>
  </si>
  <si>
    <t>16.15 SEER2</t>
  </si>
  <si>
    <t>VRF_Heat_Pump_Ground_Source≥20 tonsNo</t>
  </si>
  <si>
    <t>AC_Unit_Single_Phase_2.5_tons_1Phase16.2_SEER2</t>
  </si>
  <si>
    <t>Rec Incentive from MAS sheet</t>
  </si>
  <si>
    <t>AC_Unit_Single_Phase_3.0_tons_1Phase16.2_SEER2</t>
  </si>
  <si>
    <t>Application</t>
  </si>
  <si>
    <t>MAS Sheet Incremental w/out O&amp;M</t>
  </si>
  <si>
    <t>MAS Sheet IPLV ee min eff</t>
  </si>
  <si>
    <t>Code</t>
  </si>
  <si>
    <t>Tier 1</t>
  </si>
  <si>
    <t>Tier 2</t>
  </si>
  <si>
    <t>AC_Unit_Single_Phase_3.5_tons_1Phase16.2_SEER2</t>
  </si>
  <si>
    <t>C&amp;I Comprehensive Water-Cooled Chillers-Centrifugal &lt;150 Tons Tier 1</t>
  </si>
  <si>
    <t>AC_Unit_Single_Phase_4.0_tons_1Phase16.2_SEER2</t>
  </si>
  <si>
    <t>C&amp;I Comprehensive Water-Cooled Chillers-Centrifugal &lt;150 Tons Tier 2</t>
  </si>
  <si>
    <t>AC_Unit_Single_Phase_5.0_tons_1Phase16.2_SEER2</t>
  </si>
  <si>
    <t>C&amp;I Comprehensive Water-Cooled Chillers-Centrifugal 150 - 299 Tons Tier 1</t>
  </si>
  <si>
    <t>AC_Unit_Single_Phase_2.0_tons_1Phase≥17.1_SEER2</t>
  </si>
  <si>
    <t>17.10 SEER2</t>
  </si>
  <si>
    <t>C&amp;I Comprehensive Water-Cooled Chillers-Centrifugal 150 - 299 Tons Tier 2</t>
  </si>
  <si>
    <t>AC_Unit_Single_Phase_2.5_tons_1Phase≥17.1_SEER2</t>
  </si>
  <si>
    <t>C&amp;I Comprehensive Water-Cooled Chillers-Centrifugal 300  - 399 Tons Tier 1</t>
  </si>
  <si>
    <t>AC_Unit_Single_Phase_3.0_tons_1Phase≥17.1_SEER2</t>
  </si>
  <si>
    <t>C&amp;I Comprehensive Water-Cooled Chillers-Centrifugal 300  - 399 Tons Tier 2</t>
  </si>
  <si>
    <t>AC_Unit_Single_Phase_3.5_tons_1Phase≥17.1_SEER2</t>
  </si>
  <si>
    <t>C&amp;I Comprehensive Water-Cooled Chillers-Centrifugal 400 - 599 Tons Tier 1</t>
  </si>
  <si>
    <t>AC_Unit_Single_Phase_4.0_tons_1Phase≥17.1_SEER2</t>
  </si>
  <si>
    <t>C&amp;I Comprehensive Water-Cooled Chillers-Centrifugal 400 - 599 Tons Tier 2</t>
  </si>
  <si>
    <t>AC_Unit_Single_Phase_5.0_tons_1Phase≥17.1_SEER2</t>
  </si>
  <si>
    <t>C&amp;I Comprehensive Water-Cooled Chillers-Centrifugal ≥ 600 Tons Tier 1</t>
  </si>
  <si>
    <t>HP_Unit_Single_Phase_2.0_tons_1Phase15.2_SEER2</t>
  </si>
  <si>
    <t>C&amp;I Comprehensive Water-Cooled Chillers-Centrifugal ≥ 600 Tons Tier 2</t>
  </si>
  <si>
    <t>HP_Unit_Single_Phase_2.5_tons_1Phase15.2_SEER2</t>
  </si>
  <si>
    <t>Chiller_Reciprocating&lt;150</t>
  </si>
  <si>
    <t>C&amp;I Comprehensive Water-Cooled Chillers-Positive Displacement &lt; 75 Tons Tier 1</t>
  </si>
  <si>
    <t>HP_Unit_Single_Phase_3.0_tons_1Phase15.2_SEER2</t>
  </si>
  <si>
    <t>C&amp;I Comprehensive Water-Cooled Chillers-Positive Displacement &lt; 75 Tons Tier 2</t>
  </si>
  <si>
    <t>HP_Unit_Single_Phase_3.5_tons_1Phase15.2_SEER2</t>
  </si>
  <si>
    <t>C&amp;I Comprehensive Water-Cooled Chillers-Positive Displacement 75 - 149 Tons Tier 1</t>
  </si>
  <si>
    <t>HP_Unit_Single_Phase_4.0_tons_1Phase15.2_SEER2</t>
  </si>
  <si>
    <t>C&amp;I Comprehensive Water-Cooled Chillers-Positive Displacement 75 - 149 Tons Tier 2</t>
  </si>
  <si>
    <t>HP_Unit_Single_Phase_5.0_tons_1Phase15.2_SEER2</t>
  </si>
  <si>
    <t>Chiller_Reciprocating150-299</t>
  </si>
  <si>
    <t>C&amp;I Comprehensive Water-Cooled Chillers-Positive Displacement 150 - 299 Tons Tier 1</t>
  </si>
  <si>
    <t>HP_Unit_Single_Phase_2.0_tons_1Phase16.2_SEER2</t>
  </si>
  <si>
    <t>C&amp;I Comprehensive Water-Cooled Chillers-Positive Displacement 150 - 299 Tons Tier 2</t>
  </si>
  <si>
    <t>HP_Unit_Single_Phase_2.5_tons_1Phase16.2_SEER2</t>
  </si>
  <si>
    <t>Chiller_Reciprocating≥300</t>
  </si>
  <si>
    <t>C&amp;I Comprehensive Water-Cooled Chillers-Positive Displacement 300 - 599 Tons Tier 1</t>
  </si>
  <si>
    <t>HP_Unit_Single_Phase_3.0_tons_1Phase16.2_SEER2</t>
  </si>
  <si>
    <t>C&amp;I Comprehensive Water-Cooled Chillers-Positive Displacement 300 - 599 Tons Tier 2</t>
  </si>
  <si>
    <t>HP_Unit_Single_Phase_3.5_tons_1Phase16.2_SEER2</t>
  </si>
  <si>
    <t>C&amp;I Comprehensive Water-Cooled Chillers-Positive Displacement ≥ 600 Tons Tier 1</t>
  </si>
  <si>
    <t>HP_Unit_Single_Phase_4.0_tons_1Phase16.2_SEER2</t>
  </si>
  <si>
    <t>C&amp;I Comprehensive Water-Cooled Chillers-Positive Displacement ≥ 600 Tons Tier 2</t>
  </si>
  <si>
    <t>HP_Unit_Single_Phase_5.0_tons_1Phase16.2_SEER2</t>
  </si>
  <si>
    <t>C&amp;I Comprehensive Air-Cooled Chillers &lt;150 Tons Tier 1</t>
  </si>
  <si>
    <t>HP_Unit_Single_Phase_2.0_tons_1Phase≥17.1_SEER2</t>
  </si>
  <si>
    <t>C&amp;I Comprehensive Air-Cooled Chillers &lt;150 Tons Tier 2</t>
  </si>
  <si>
    <t>HP_Unit_Single_Phase_2.5_tons_1Phase≥17.1_SEER2</t>
  </si>
  <si>
    <t>C&amp;I Comprehensive Air-Cooled Chillers &gt;=150 Tons Tier 1</t>
  </si>
  <si>
    <t>HP_Unit_Single_Phase_3.0_tons_1Phase≥17.1_SEER2</t>
  </si>
  <si>
    <t>C&amp;I Comprehensive Air-Cooled Chillers &gt;=150 Tons Tier 2</t>
  </si>
  <si>
    <t>HP_Unit_Single_Phase_3.5_tons_1Phase≥17.1_SEER2</t>
  </si>
  <si>
    <t>HP_Unit_Single_Phase_4.0_tons_1Phase≥17.1_SEER2</t>
  </si>
  <si>
    <t>HP_Unit_Single_Phase_5.0_tons_1Phase≥17.1_SEER2</t>
  </si>
  <si>
    <t>Hotel_Room_Control_AC_OnlyDual Technology</t>
  </si>
  <si>
    <t>per Room</t>
  </si>
  <si>
    <t>Hotel_Room_Control_AC_OnlyPassive Infrared</t>
  </si>
  <si>
    <t>Hotel_Room_Control_AC_OnlyKey Card Activation</t>
  </si>
  <si>
    <t>Hotel_Room_Control_Heat_PumpsDual Technology</t>
  </si>
  <si>
    <t>Hotel_Room_Control_Heat_PumpsPassive Infrared</t>
  </si>
  <si>
    <t>Hotel_Room_Control_Heat_PumpsKey Card Activation</t>
  </si>
  <si>
    <t>Add_EconomizersUnitary Air-Cooled PKG AC 3 ton</t>
  </si>
  <si>
    <t>9.54 EER</t>
  </si>
  <si>
    <t>Add_EconomizersUnitary Air-Cooled PKG AC 4 ton</t>
  </si>
  <si>
    <t>Add_EconomizersUnitary Air-Cooled PKG AC 5 ton</t>
  </si>
  <si>
    <t>per Sensor</t>
  </si>
  <si>
    <t>CO_SensorsOn/Off (Shopping/Airport Profile)</t>
  </si>
  <si>
    <t>CO_SensorsVAV (Shopping/Airport Profile)</t>
  </si>
  <si>
    <t>CO_SensorsOn/Off (Office/Events Profile)</t>
  </si>
  <si>
    <t>CO_SensorsVAV (Office/Events Profile)</t>
  </si>
  <si>
    <t>per Square Foot</t>
  </si>
  <si>
    <t>AC_Unit_Three_Phase_2.0_tons15.2_SEER2</t>
  </si>
  <si>
    <t>AC_Unit_Three_Phase_2.5_tons15.2_SEER2</t>
  </si>
  <si>
    <t>AC_Unit_Three_Phase_3.0_tons15.2_SEER2</t>
  </si>
  <si>
    <t>AC_Unit_Three_Phase_3.5_tons15.2_SEER2</t>
  </si>
  <si>
    <t>AC_Unit_Three_Phase_4.0_tons15.2_SEER2</t>
  </si>
  <si>
    <t>AC_Unit_Three_Phase_5.0_tons15.2_SEER2</t>
  </si>
  <si>
    <t>AC_Unit_Three_Phase_2.0_tons16.2_SEER2</t>
  </si>
  <si>
    <t>AC_Unit_Three_Phase_2.5_tons16.2_SEER2</t>
  </si>
  <si>
    <t>AC_Unit_Three_Phase_3.0_tons16.2_SEER2</t>
  </si>
  <si>
    <t>AC_Unit_Three_Phase_3.5_tons16.2_SEER2</t>
  </si>
  <si>
    <t>AC_Unit_Three_Phase_4.0_tons16.2_SEER2</t>
  </si>
  <si>
    <t>AC_Unit_Three_Phase_5.0_tons16.2_SEER2</t>
  </si>
  <si>
    <t>AC_Unit_Three_Phase_2.0_tons≥17.1_SEER2</t>
  </si>
  <si>
    <t>AC_Unit_Three_Phase_2.5_tons≥17.1_SEER2</t>
  </si>
  <si>
    <t>AC_Unit_Three_Phase_3.0_tons≥17.1_SEER2</t>
  </si>
  <si>
    <t>AC_Unit_Three_Phase_3.5_tons≥17.1_SEER2</t>
  </si>
  <si>
    <t>AC_Unit_Three_Phase_4.0_tons≥17.1_SEER2</t>
  </si>
  <si>
    <t>AC_Unit_Three_Phase_5.0_tons≥17.1_SEER2</t>
  </si>
  <si>
    <t>HP_Unit_Three_Phase_2.0_tons15.2_SEER2</t>
  </si>
  <si>
    <t>HP_Unit_Three_Phase_2.5_tons15.2_SEER2</t>
  </si>
  <si>
    <t>HP_Unit_Three_Phase_3.0_tons15.2_SEER2</t>
  </si>
  <si>
    <t>HP_Unit_Three_Phase_3.5_tons15.2_SEER2</t>
  </si>
  <si>
    <t>HP_Unit_Three_Phase_4.0_tons15.2_SEER2</t>
  </si>
  <si>
    <t>HP_Unit_Three_Phase_5.0_tons15.2_SEER2</t>
  </si>
  <si>
    <t>HP_Unit_Three_Phase_2.0_tons16.2_SEER2</t>
  </si>
  <si>
    <t>HP_Unit_Three_Phase_2.5_tons16.2_SEER2</t>
  </si>
  <si>
    <t>HP_Unit_Three_Phase_3.0_tons16.2_SEER2</t>
  </si>
  <si>
    <t>HP_Unit_Three_Phase_3.5_tons16.2_SEER2</t>
  </si>
  <si>
    <t>HP_Unit_Three_Phase_4.0_tons16.2_SEER2</t>
  </si>
  <si>
    <t>HP_Unit_Three_Phase_5.0_tons16.2_SEER2</t>
  </si>
  <si>
    <t>HP_Unit_Three_Phase_2.0_tons≥17.1_SEER2</t>
  </si>
  <si>
    <t>HP_Unit_Three_Phase_2.5_tons≥17.1_SEER2</t>
  </si>
  <si>
    <t>HP_Unit_Three_Phase_3.0_tons≥17.1_SEER2</t>
  </si>
  <si>
    <t>HP_Unit_Three_Phase_3.5_tons≥17.1_SEER2</t>
  </si>
  <si>
    <t>HP_Unit_Three_Phase_4.0_tons≥17.1_SEER2</t>
  </si>
  <si>
    <t>HP_Unit_Three_Phase_5.0_tons≥17.1_SEER2</t>
  </si>
  <si>
    <t>per sf</t>
  </si>
  <si>
    <t>AC_Unit_Single_Phase_2.0_tons_1Phase</t>
  </si>
  <si>
    <t>AC_Unit_Single_Phase_2.5_tons_1Phase</t>
  </si>
  <si>
    <t>AC_Unit_Single_Phase_3.0_tons_1Phase</t>
  </si>
  <si>
    <t>AC_Unit_Single_Phase_3.5_tons_1Phase</t>
  </si>
  <si>
    <t>AC_Unit_Single_Phase_4.0_tons_1Phase</t>
  </si>
  <si>
    <t>AC_Unit_Single_Phase_5.0_tons_1Phase</t>
  </si>
  <si>
    <t>HP_Unit_Single_Phase_2.0_tons_1Phase</t>
  </si>
  <si>
    <t>HP_Unit_Single_Phase_2.5_tons_1Phase</t>
  </si>
  <si>
    <t>HP_Unit_Single_Phase_3.0_tons_1Phase</t>
  </si>
  <si>
    <t>HP_Unit_Single_Phase_3.5_tons_1Phase</t>
  </si>
  <si>
    <t>HP_Unit_Single_Phase_4.0_tons_1Phase</t>
  </si>
  <si>
    <t>HP_Unit_Single_Phase_5.0_tons_1Phase</t>
  </si>
  <si>
    <t>AC_Unit_Three_Phase_2.0_tons</t>
  </si>
  <si>
    <t>AC_Unit_Three_Phase_2.5_tons</t>
  </si>
  <si>
    <t>AC_Unit_Three_Phase_3.0_tons</t>
  </si>
  <si>
    <t>AC_Unit_Three_Phase_3.5_tons</t>
  </si>
  <si>
    <t>AC_Unit_Three_Phase_4.0_tons</t>
  </si>
  <si>
    <t>AC_Unit_Three_Phase_5.0_tons</t>
  </si>
  <si>
    <t>HP_Unit_Three_Phase_2.0_tons</t>
  </si>
  <si>
    <t>HP_Unit_Three_Phase_2.5_tons</t>
  </si>
  <si>
    <t>HP_Unit_Three_Phase_3.0_tons</t>
  </si>
  <si>
    <t>HP_Unit_Three_Phase_3.5_tons</t>
  </si>
  <si>
    <t>HP_Unit_Three_Phase_4.0_tons</t>
  </si>
  <si>
    <t>HP_Unit_Three_Phase_5.0_tons</t>
  </si>
  <si>
    <t>2025 Rebate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</si>
</sst>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00"/>
    <numFmt numFmtId="168" formatCode="&quot;$&quot;#,##0"/>
    <numFmt numFmtId="169" formatCode="_(* #,##0.000000000000_);_(* \(#,##0.000000000000\);_(* &quot;-&quot;??_);_(@_)"/>
    <numFmt numFmtId="170" formatCode="0.0000"/>
    <numFmt numFmtId="171" formatCode="0.000000"/>
    <numFmt numFmtId="172" formatCode="0.0000000"/>
    <numFmt numFmtId="173" formatCode="&quot;$&quot;#,##0.000_);[Red]\(&quot;$&quot;#,##0.000\)"/>
  </numFmts>
  <fonts count="75">
    <font>
      <sz val="10"/>
      <name val="Arial"/>
    </font>
    <font>
      <b/>
      <sz val="10"/>
      <name val="Arial"/>
      <family val="2"/>
    </font>
    <font>
      <sz val="10"/>
      <name val="Arial"/>
      <family val="2"/>
    </font>
    <font>
      <i/>
      <sz val="10"/>
      <name val="Arial"/>
      <family val="2"/>
    </font>
    <font>
      <b/>
      <sz val="22"/>
      <name val="Arial"/>
      <family val="2"/>
    </font>
    <font>
      <sz val="12"/>
      <name val="Arial"/>
      <family val="2"/>
    </font>
    <font>
      <b/>
      <sz val="11"/>
      <name val="Arial"/>
      <family val="2"/>
    </font>
    <font>
      <sz val="11"/>
      <name val="Arial"/>
      <family val="2"/>
    </font>
    <font>
      <b/>
      <sz val="10"/>
      <color indexed="10"/>
      <name val="Arial"/>
      <family val="2"/>
    </font>
    <font>
      <b/>
      <sz val="11.5"/>
      <color indexed="8"/>
      <name val="Arial"/>
      <family val="2"/>
    </font>
    <font>
      <b/>
      <sz val="11.5"/>
      <name val="Arial"/>
      <family val="2"/>
    </font>
    <font>
      <b/>
      <sz val="12"/>
      <name val="Arial"/>
      <family val="2"/>
    </font>
    <font>
      <sz val="9"/>
      <name val="Arial"/>
      <family val="2"/>
    </font>
    <font>
      <b/>
      <i/>
      <sz val="12"/>
      <name val="Arial"/>
      <family val="2"/>
    </font>
    <font>
      <i/>
      <sz val="9"/>
      <name val="Arial"/>
      <family val="2"/>
    </font>
    <font>
      <sz val="8"/>
      <name val="Arial"/>
      <family val="2"/>
    </font>
    <font>
      <b/>
      <sz val="9"/>
      <name val="Arial"/>
      <family val="2"/>
    </font>
    <font>
      <b/>
      <sz val="20"/>
      <name val="Tekton Pro"/>
      <family val="2"/>
    </font>
    <font>
      <sz val="10"/>
      <name val="Tekton Pro"/>
      <family val="2"/>
    </font>
    <font>
      <b/>
      <sz val="9"/>
      <name val="Tekton Pro"/>
    </font>
    <font>
      <sz val="10"/>
      <color indexed="10"/>
      <name val="Arial"/>
      <family val="2"/>
    </font>
    <font>
      <sz val="9"/>
      <color indexed="81"/>
      <name val="Tahoma"/>
      <family val="2"/>
    </font>
    <font>
      <b/>
      <sz val="14"/>
      <color indexed="17"/>
      <name val="Arial"/>
      <family val="2"/>
    </font>
    <font>
      <sz val="11"/>
      <color indexed="8"/>
      <name val="Arial"/>
      <family val="2"/>
    </font>
    <font>
      <sz val="10"/>
      <name val="Arial"/>
      <family val="2"/>
    </font>
    <font>
      <b/>
      <sz val="24"/>
      <name val="Arial"/>
      <family val="2"/>
    </font>
    <font>
      <b/>
      <sz val="11"/>
      <name val="Calibri"/>
      <family val="2"/>
    </font>
    <font>
      <b/>
      <sz val="26"/>
      <name val="Arial"/>
      <family val="2"/>
    </font>
    <font>
      <b/>
      <sz val="18"/>
      <name val="Arial"/>
      <family val="2"/>
    </font>
    <font>
      <sz val="18"/>
      <color indexed="39"/>
      <name val="Arial"/>
      <family val="2"/>
    </font>
    <font>
      <u/>
      <sz val="22"/>
      <name val="Arial"/>
      <family val="2"/>
    </font>
    <font>
      <u/>
      <sz val="18"/>
      <name val="Arial"/>
      <family val="2"/>
    </font>
    <font>
      <sz val="9"/>
      <color indexed="8"/>
      <name val="Arial"/>
      <family val="2"/>
    </font>
    <font>
      <sz val="10"/>
      <color indexed="8"/>
      <name val="Arial"/>
      <family val="2"/>
    </font>
    <font>
      <b/>
      <sz val="10"/>
      <color indexed="8"/>
      <name val="Arial"/>
      <family val="2"/>
    </font>
    <font>
      <b/>
      <i/>
      <sz val="9"/>
      <name val="Arial"/>
      <family val="2"/>
    </font>
    <font>
      <sz val="9"/>
      <color indexed="8"/>
      <name val="Calibri"/>
      <family val="2"/>
    </font>
    <font>
      <sz val="10"/>
      <name val="Helv"/>
    </font>
    <font>
      <b/>
      <i/>
      <sz val="10"/>
      <name val="Arial"/>
      <family val="2"/>
    </font>
    <font>
      <b/>
      <i/>
      <sz val="11"/>
      <name val="Arial"/>
      <family val="2"/>
    </font>
    <font>
      <vertAlign val="subscript"/>
      <sz val="9"/>
      <name val="Arial"/>
      <family val="2"/>
    </font>
    <font>
      <sz val="10"/>
      <name val="Calibri"/>
      <family val="2"/>
    </font>
    <font>
      <b/>
      <sz val="8"/>
      <name val="Arial"/>
      <family val="2"/>
    </font>
    <font>
      <b/>
      <sz val="14"/>
      <name val="Arial"/>
      <family val="2"/>
    </font>
    <font>
      <sz val="8"/>
      <name val="Helv"/>
    </font>
    <font>
      <sz val="11"/>
      <color theme="1"/>
      <name val="Calibri"/>
      <family val="2"/>
      <scheme val="minor"/>
    </font>
    <font>
      <u/>
      <sz val="10"/>
      <color theme="10"/>
      <name val="Arial"/>
      <family val="2"/>
    </font>
    <font>
      <sz val="10"/>
      <color theme="1"/>
      <name val="Arial"/>
      <family val="2"/>
    </font>
    <font>
      <sz val="9"/>
      <color theme="1"/>
      <name val="Arial"/>
      <family val="2"/>
    </font>
    <font>
      <sz val="10"/>
      <color rgb="FFFF0000"/>
      <name val="Arial"/>
      <family val="2"/>
    </font>
    <font>
      <b/>
      <sz val="12"/>
      <color theme="1"/>
      <name val="Arial"/>
      <family val="2"/>
    </font>
    <font>
      <sz val="9"/>
      <color rgb="FFFF0000"/>
      <name val="Arial"/>
      <family val="2"/>
    </font>
    <font>
      <b/>
      <sz val="9"/>
      <color theme="1"/>
      <name val="Arial"/>
      <family val="2"/>
    </font>
    <font>
      <b/>
      <sz val="9"/>
      <color rgb="FF0000FF"/>
      <name val="Tekton Pro"/>
    </font>
    <font>
      <sz val="8"/>
      <color theme="1"/>
      <name val="Arial"/>
      <family val="2"/>
    </font>
    <font>
      <b/>
      <sz val="10"/>
      <color theme="1"/>
      <name val="Arial"/>
      <family val="2"/>
    </font>
    <font>
      <i/>
      <sz val="10"/>
      <color rgb="FFFF0000"/>
      <name val="Arial"/>
      <family val="2"/>
    </font>
    <font>
      <b/>
      <sz val="10"/>
      <color rgb="FFFF0000"/>
      <name val="Arial"/>
      <family val="2"/>
    </font>
    <font>
      <b/>
      <sz val="24"/>
      <color rgb="FFFF0000"/>
      <name val="Arial"/>
      <family val="2"/>
    </font>
    <font>
      <u/>
      <sz val="12"/>
      <color theme="10"/>
      <name val="Arial"/>
      <family val="2"/>
    </font>
    <font>
      <b/>
      <sz val="12"/>
      <color theme="0"/>
      <name val="Arial"/>
      <family val="2"/>
    </font>
    <font>
      <b/>
      <sz val="10"/>
      <name val="Calibri"/>
      <family val="2"/>
    </font>
    <font>
      <sz val="10"/>
      <name val="Arial"/>
      <family val="2"/>
    </font>
    <font>
      <sz val="10"/>
      <color rgb="FFFF66FF"/>
      <name val="Arial"/>
      <family val="2"/>
    </font>
    <font>
      <sz val="11"/>
      <color rgb="FF000000"/>
      <name val="Calibri"/>
      <family val="2"/>
    </font>
    <font>
      <b/>
      <sz val="10"/>
      <color rgb="FF00B050"/>
      <name val="Calibri"/>
      <family val="2"/>
    </font>
    <font>
      <sz val="10"/>
      <color rgb="FF00B050"/>
      <name val="Arial"/>
      <family val="2"/>
    </font>
    <font>
      <strike/>
      <sz val="10"/>
      <name val="Arial"/>
      <family val="2"/>
    </font>
    <font>
      <b/>
      <strike/>
      <sz val="10"/>
      <color rgb="FFFF0000"/>
      <name val="Arial"/>
      <family val="2"/>
    </font>
    <font>
      <b/>
      <sz val="10"/>
      <color rgb="FF000000"/>
      <name val="Arial"/>
      <family val="2"/>
    </font>
    <font>
      <sz val="8"/>
      <color rgb="FF000000"/>
      <name val="Arial"/>
      <family val="2"/>
    </font>
    <font>
      <vertAlign val="superscript"/>
      <sz val="8"/>
      <color rgb="FF000000"/>
      <name val="Arial"/>
      <family val="2"/>
    </font>
    <font>
      <b/>
      <sz val="10"/>
      <color rgb="FF000000"/>
      <name val="Arial"/>
    </font>
    <font>
      <sz val="10"/>
      <color rgb="FF000000"/>
      <name val="Arial"/>
    </font>
    <font>
      <sz val="9"/>
      <color indexed="81"/>
      <name val="Tahoma"/>
      <charset val="1"/>
    </font>
  </fonts>
  <fills count="2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EBF1DE"/>
        <bgColor indexed="64"/>
      </patternFill>
    </fill>
    <fill>
      <patternFill patternType="solid">
        <fgColor theme="6" tint="0.79998168889431442"/>
        <bgColor indexed="64"/>
      </patternFill>
    </fill>
    <fill>
      <patternFill patternType="solid">
        <fgColor rgb="FF99CCFF"/>
        <bgColor indexed="64"/>
      </patternFill>
    </fill>
    <fill>
      <patternFill patternType="solid">
        <fgColor rgb="FF0070C0"/>
        <bgColor indexed="64"/>
      </patternFill>
    </fill>
    <fill>
      <patternFill patternType="solid">
        <fgColor theme="0" tint="-0.499984740745262"/>
        <bgColor indexed="64"/>
      </patternFill>
    </fill>
    <fill>
      <patternFill patternType="solid">
        <fgColor rgb="FF92D050"/>
        <bgColor rgb="FF000000"/>
      </patternFill>
    </fill>
    <fill>
      <patternFill patternType="solid">
        <fgColor rgb="FFFF66FF"/>
        <bgColor indexed="64"/>
      </patternFill>
    </fill>
  </fills>
  <borders count="42">
    <border>
      <left/>
      <right/>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s>
  <cellStyleXfs count="28">
    <xf numFmtId="0" fontId="0" fillId="0" borderId="0">
      <alignment horizontal="left"/>
    </xf>
    <xf numFmtId="43" fontId="2" fillId="0" borderId="0" applyFont="0" applyFill="0" applyBorder="0" applyAlignment="0" applyProtection="0"/>
    <xf numFmtId="43" fontId="37" fillId="0" borderId="0" applyFont="0" applyFill="0" applyBorder="0" applyAlignment="0" applyProtection="0"/>
    <xf numFmtId="44" fontId="24" fillId="0" borderId="0" applyFont="0" applyFill="0" applyBorder="0" applyAlignment="0" applyProtection="0"/>
    <xf numFmtId="44" fontId="38" fillId="0" borderId="0" applyFont="0" applyFill="0" applyBorder="0" applyAlignment="0" applyProtection="0"/>
    <xf numFmtId="44" fontId="2" fillId="0" borderId="0" applyFont="0" applyFill="0" applyBorder="0" applyAlignment="0" applyProtection="0"/>
    <xf numFmtId="0" fontId="46" fillId="0" borderId="0" applyNumberFormat="0" applyFill="0" applyBorder="0" applyAlignment="0" applyProtection="0">
      <alignment horizontal="left"/>
    </xf>
    <xf numFmtId="0" fontId="2" fillId="0" borderId="0"/>
    <xf numFmtId="0" fontId="2" fillId="0" borderId="0"/>
    <xf numFmtId="0" fontId="2" fillId="0" borderId="0"/>
    <xf numFmtId="0" fontId="2" fillId="0" borderId="0"/>
    <xf numFmtId="0" fontId="45" fillId="0" borderId="0"/>
    <xf numFmtId="0" fontId="45" fillId="0" borderId="0"/>
    <xf numFmtId="0" fontId="2" fillId="0" borderId="0">
      <alignment horizontal="left"/>
    </xf>
    <xf numFmtId="0" fontId="45" fillId="0" borderId="0"/>
    <xf numFmtId="0" fontId="2" fillId="0" borderId="0"/>
    <xf numFmtId="0" fontId="37" fillId="0" borderId="0"/>
    <xf numFmtId="0" fontId="37" fillId="0" borderId="0"/>
    <xf numFmtId="0" fontId="2" fillId="0" borderId="0"/>
    <xf numFmtId="0" fontId="45" fillId="0" borderId="0"/>
    <xf numFmtId="0" fontId="45" fillId="0" borderId="0"/>
    <xf numFmtId="0" fontId="37" fillId="0" borderId="0"/>
    <xf numFmtId="0" fontId="3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2" fillId="0" borderId="0" applyFont="0" applyFill="0" applyBorder="0" applyAlignment="0" applyProtection="0"/>
  </cellStyleXfs>
  <cellXfs count="513">
    <xf numFmtId="0" fontId="0" fillId="0" borderId="0" xfId="0">
      <alignment horizontal="left"/>
    </xf>
    <xf numFmtId="0" fontId="2" fillId="5" borderId="0" xfId="0" applyFont="1" applyFill="1">
      <alignment horizontal="left"/>
    </xf>
    <xf numFmtId="0" fontId="15" fillId="6" borderId="0" xfId="0" applyFont="1" applyFill="1" applyAlignment="1" applyProtection="1">
      <alignment horizontal="left" vertical="center"/>
      <protection hidden="1"/>
    </xf>
    <xf numFmtId="0" fontId="1" fillId="6" borderId="0" xfId="0" applyFont="1" applyFill="1" applyAlignment="1" applyProtection="1">
      <alignment horizontal="right" vertical="center"/>
      <protection hidden="1"/>
    </xf>
    <xf numFmtId="1" fontId="3" fillId="6" borderId="0" xfId="0" applyNumberFormat="1" applyFont="1" applyFill="1" applyAlignment="1" applyProtection="1">
      <alignment horizontal="left" vertical="center"/>
      <protection hidden="1"/>
    </xf>
    <xf numFmtId="0" fontId="1" fillId="6" borderId="0" xfId="0" applyFont="1" applyFill="1" applyAlignment="1" applyProtection="1">
      <alignment vertical="center"/>
      <protection hidden="1"/>
    </xf>
    <xf numFmtId="0" fontId="2"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2" fillId="6" borderId="0" xfId="0" applyFont="1" applyFill="1" applyAlignment="1" applyProtection="1">
      <alignment vertical="center"/>
      <protection hidden="1"/>
    </xf>
    <xf numFmtId="7" fontId="2" fillId="6" borderId="0" xfId="0" applyNumberFormat="1" applyFont="1" applyFill="1" applyAlignment="1" applyProtection="1">
      <alignment vertical="center"/>
      <protection hidden="1"/>
    </xf>
    <xf numFmtId="7" fontId="2" fillId="6"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center"/>
      <protection hidden="1"/>
    </xf>
    <xf numFmtId="8" fontId="47" fillId="6" borderId="0" xfId="0" applyNumberFormat="1" applyFont="1" applyFill="1" applyAlignment="1" applyProtection="1">
      <alignment horizontal="center" vertical="center"/>
      <protection hidden="1"/>
    </xf>
    <xf numFmtId="0" fontId="14" fillId="6" borderId="0" xfId="0" applyFont="1" applyFill="1" applyAlignment="1" applyProtection="1">
      <alignment horizontal="right"/>
      <protection hidden="1"/>
    </xf>
    <xf numFmtId="1" fontId="48" fillId="6" borderId="0" xfId="0" quotePrefix="1" applyNumberFormat="1" applyFont="1" applyFill="1" applyAlignment="1" applyProtection="1">
      <alignment horizontal="center" vertical="center"/>
      <protection hidden="1"/>
    </xf>
    <xf numFmtId="0" fontId="2" fillId="2" borderId="0" xfId="13" applyFill="1">
      <alignment horizontal="left"/>
    </xf>
    <xf numFmtId="0" fontId="8" fillId="2" borderId="0" xfId="13" applyFont="1" applyFill="1">
      <alignment horizontal="left"/>
    </xf>
    <xf numFmtId="0" fontId="26" fillId="2" borderId="0" xfId="13" applyFont="1" applyFill="1" applyAlignment="1">
      <alignment horizontal="left" vertical="center"/>
    </xf>
    <xf numFmtId="0" fontId="2" fillId="3" borderId="0" xfId="13" applyFill="1" applyProtection="1">
      <alignment horizontal="left"/>
      <protection hidden="1"/>
    </xf>
    <xf numFmtId="0" fontId="2" fillId="3" borderId="0" xfId="13" applyFill="1" applyAlignment="1" applyProtection="1">
      <protection hidden="1"/>
    </xf>
    <xf numFmtId="0" fontId="13" fillId="3" borderId="0" xfId="13" applyFont="1" applyFill="1" applyAlignment="1" applyProtection="1">
      <alignment horizontal="right"/>
      <protection hidden="1"/>
    </xf>
    <xf numFmtId="0" fontId="2" fillId="4" borderId="0" xfId="13" applyFill="1" applyProtection="1">
      <alignment horizontal="left"/>
      <protection hidden="1"/>
    </xf>
    <xf numFmtId="8" fontId="48" fillId="6" borderId="0" xfId="0" applyNumberFormat="1" applyFont="1" applyFill="1" applyAlignment="1" applyProtection="1">
      <alignment vertical="center" wrapText="1"/>
      <protection hidden="1"/>
    </xf>
    <xf numFmtId="0" fontId="3" fillId="3" borderId="0" xfId="0" applyFont="1" applyFill="1" applyAlignment="1" applyProtection="1">
      <alignment horizontal="center" vertical="center"/>
      <protection hidden="1"/>
    </xf>
    <xf numFmtId="0" fontId="2" fillId="0" borderId="0" xfId="0" applyFont="1" applyAlignment="1"/>
    <xf numFmtId="0" fontId="2" fillId="0" borderId="0" xfId="0" applyFont="1" applyAlignment="1" applyProtection="1">
      <alignment vertical="center"/>
      <protection hidden="1"/>
    </xf>
    <xf numFmtId="0" fontId="32" fillId="0" borderId="0" xfId="0" applyFont="1" applyAlignment="1" applyProtection="1">
      <alignment horizontal="left" vertical="center"/>
      <protection locked="0"/>
    </xf>
    <xf numFmtId="0" fontId="49" fillId="0" borderId="0" xfId="0" applyFont="1">
      <alignment horizontal="left"/>
    </xf>
    <xf numFmtId="0" fontId="2" fillId="0" borderId="0" xfId="0" applyFont="1">
      <alignment horizontal="left"/>
    </xf>
    <xf numFmtId="0" fontId="12" fillId="6" borderId="0" xfId="0" applyFont="1" applyFill="1" applyAlignment="1" applyProtection="1">
      <alignment horizontal="left" vertical="center"/>
      <protection hidden="1"/>
    </xf>
    <xf numFmtId="2" fontId="48" fillId="6" borderId="0" xfId="0" applyNumberFormat="1" applyFont="1" applyFill="1" applyAlignment="1" applyProtection="1">
      <alignment horizontal="center" vertical="center"/>
      <protection hidden="1"/>
    </xf>
    <xf numFmtId="49" fontId="2" fillId="6" borderId="0" xfId="0" applyNumberFormat="1" applyFont="1" applyFill="1" applyAlignment="1" applyProtection="1">
      <alignment horizontal="left" vertical="center"/>
      <protection hidden="1"/>
    </xf>
    <xf numFmtId="0" fontId="12" fillId="6" borderId="0" xfId="0" applyFont="1" applyFill="1" applyAlignment="1" applyProtection="1">
      <alignment horizontal="center" vertical="center"/>
      <protection hidden="1"/>
    </xf>
    <xf numFmtId="1" fontId="48" fillId="6" borderId="0" xfId="0" applyNumberFormat="1" applyFont="1" applyFill="1" applyAlignment="1" applyProtection="1">
      <alignment horizontal="center" vertical="center"/>
      <protection hidden="1"/>
    </xf>
    <xf numFmtId="1" fontId="48" fillId="6" borderId="1" xfId="0" quotePrefix="1" applyNumberFormat="1" applyFont="1" applyFill="1" applyBorder="1" applyAlignment="1" applyProtection="1">
      <alignment horizontal="center" vertical="center"/>
      <protection hidden="1"/>
    </xf>
    <xf numFmtId="166" fontId="23" fillId="6" borderId="0" xfId="0" applyNumberFormat="1" applyFont="1" applyFill="1" applyAlignment="1" applyProtection="1">
      <alignment horizontal="center" vertical="center"/>
      <protection hidden="1"/>
    </xf>
    <xf numFmtId="0" fontId="50" fillId="6" borderId="0" xfId="0" applyFont="1" applyFill="1" applyAlignment="1" applyProtection="1">
      <alignment horizontal="right" vertical="center"/>
      <protection hidden="1"/>
    </xf>
    <xf numFmtId="0" fontId="2" fillId="6" borderId="0" xfId="0" applyFont="1" applyFill="1" applyAlignment="1" applyProtection="1">
      <protection hidden="1"/>
    </xf>
    <xf numFmtId="0" fontId="15" fillId="6" borderId="0" xfId="0" applyFont="1" applyFill="1" applyAlignment="1" applyProtection="1">
      <alignment horizontal="right" vertical="center"/>
      <protection hidden="1"/>
    </xf>
    <xf numFmtId="0" fontId="12" fillId="6" borderId="1" xfId="0" applyFont="1" applyFill="1" applyBorder="1" applyAlignment="1" applyProtection="1">
      <alignment horizontal="left" vertical="center"/>
      <protection hidden="1"/>
    </xf>
    <xf numFmtId="2" fontId="48" fillId="6" borderId="1" xfId="0" applyNumberFormat="1" applyFont="1" applyFill="1" applyBorder="1" applyAlignment="1" applyProtection="1">
      <alignment horizontal="center" vertical="center"/>
      <protection hidden="1"/>
    </xf>
    <xf numFmtId="49" fontId="2" fillId="6" borderId="1" xfId="0" applyNumberFormat="1" applyFont="1" applyFill="1" applyBorder="1" applyAlignment="1" applyProtection="1">
      <alignment horizontal="left" vertical="center"/>
      <protection hidden="1"/>
    </xf>
    <xf numFmtId="0" fontId="12" fillId="6" borderId="1" xfId="0" applyFont="1" applyFill="1" applyBorder="1" applyAlignment="1" applyProtection="1">
      <alignment horizontal="center" vertical="center"/>
      <protection hidden="1"/>
    </xf>
    <xf numFmtId="1" fontId="48" fillId="6" borderId="1" xfId="0" applyNumberFormat="1" applyFont="1" applyFill="1" applyBorder="1" applyAlignment="1" applyProtection="1">
      <alignment horizontal="center" vertical="center"/>
      <protection hidden="1"/>
    </xf>
    <xf numFmtId="0" fontId="15" fillId="6" borderId="1" xfId="0" applyFont="1" applyFill="1" applyBorder="1" applyAlignment="1" applyProtection="1">
      <alignment horizontal="right" vertical="center"/>
      <protection hidden="1"/>
    </xf>
    <xf numFmtId="8" fontId="47" fillId="6" borderId="0" xfId="0" applyNumberFormat="1" applyFont="1" applyFill="1" applyAlignment="1" applyProtection="1">
      <alignment vertical="center"/>
      <protection hidden="1"/>
    </xf>
    <xf numFmtId="0" fontId="1" fillId="6" borderId="2" xfId="0" applyFont="1" applyFill="1" applyBorder="1" applyAlignment="1" applyProtection="1">
      <alignment vertical="center"/>
      <protection hidden="1"/>
    </xf>
    <xf numFmtId="0" fontId="2" fillId="6" borderId="2" xfId="0" applyFont="1" applyFill="1" applyBorder="1" applyAlignment="1" applyProtection="1">
      <protection hidden="1"/>
    </xf>
    <xf numFmtId="0" fontId="1" fillId="6" borderId="2" xfId="0" applyFont="1" applyFill="1" applyBorder="1" applyAlignment="1" applyProtection="1">
      <alignment horizontal="center" vertical="center"/>
      <protection hidden="1"/>
    </xf>
    <xf numFmtId="1" fontId="3" fillId="6" borderId="2" xfId="0" applyNumberFormat="1" applyFont="1" applyFill="1" applyBorder="1" applyAlignment="1" applyProtection="1">
      <alignment horizontal="left" vertical="center"/>
      <protection hidden="1"/>
    </xf>
    <xf numFmtId="0" fontId="2" fillId="0" borderId="0" xfId="0" applyFont="1" applyProtection="1">
      <alignment horizontal="left"/>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8" fontId="33" fillId="0" borderId="0" xfId="13"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0" xfId="13"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protection locked="0"/>
    </xf>
    <xf numFmtId="0" fontId="2" fillId="0" borderId="0" xfId="0" applyFont="1" applyAlignment="1" applyProtection="1">
      <alignment vertical="center"/>
      <protection locked="0"/>
    </xf>
    <xf numFmtId="0" fontId="18" fillId="0" borderId="0" xfId="0" applyFont="1" applyAlignment="1" applyProtection="1">
      <alignment horizontal="center" vertical="center" wrapText="1"/>
      <protection locked="0"/>
    </xf>
    <xf numFmtId="0" fontId="2" fillId="0" borderId="0" xfId="0" applyFont="1" applyAlignment="1" applyProtection="1">
      <protection locked="0"/>
    </xf>
    <xf numFmtId="2" fontId="47" fillId="0" borderId="0" xfId="0" applyNumberFormat="1" applyFont="1" applyAlignment="1" applyProtection="1">
      <alignment horizontal="left" vertical="center"/>
      <protection locked="0"/>
    </xf>
    <xf numFmtId="0" fontId="2" fillId="0" borderId="0" xfId="0" applyFont="1" applyAlignment="1" applyProtection="1">
      <alignment horizontal="center" vertical="center" wrapText="1"/>
      <protection locked="0"/>
    </xf>
    <xf numFmtId="7" fontId="2" fillId="0" borderId="0" xfId="0" applyNumberFormat="1"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8" fontId="48" fillId="0" borderId="0" xfId="0" applyNumberFormat="1" applyFont="1" applyAlignment="1" applyProtection="1">
      <alignment vertical="center"/>
      <protection locked="0"/>
    </xf>
    <xf numFmtId="0" fontId="11" fillId="0" borderId="0" xfId="0" applyFont="1" applyAlignment="1" applyProtection="1">
      <alignment vertical="top"/>
      <protection locked="0"/>
    </xf>
    <xf numFmtId="8" fontId="47" fillId="0" borderId="0" xfId="0" applyNumberFormat="1" applyFont="1" applyAlignment="1" applyProtection="1">
      <alignment vertical="center"/>
      <protection locked="0"/>
    </xf>
    <xf numFmtId="8" fontId="47" fillId="0" borderId="0" xfId="0" applyNumberFormat="1" applyFont="1" applyAlignment="1" applyProtection="1">
      <alignment vertical="center" wrapText="1"/>
      <protection locked="0"/>
    </xf>
    <xf numFmtId="8" fontId="47"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8" fontId="47"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8" fontId="34" fillId="0" borderId="0" xfId="13" applyNumberFormat="1" applyFont="1" applyAlignment="1" applyProtection="1">
      <alignment horizontal="center" vertical="center"/>
      <protection locked="0"/>
    </xf>
    <xf numFmtId="1" fontId="2" fillId="0" borderId="0" xfId="0" applyNumberFormat="1" applyFont="1" applyAlignment="1" applyProtection="1">
      <alignment horizontal="center" vertical="center"/>
      <protection locked="0"/>
    </xf>
    <xf numFmtId="0" fontId="47" fillId="0" borderId="0" xfId="0" applyFont="1" applyAlignment="1" applyProtection="1">
      <alignment horizontal="center" vertical="center"/>
      <protection locked="0"/>
    </xf>
    <xf numFmtId="8" fontId="48" fillId="0" borderId="0" xfId="0" applyNumberFormat="1" applyFont="1" applyAlignment="1" applyProtection="1">
      <alignment horizontal="center" vertical="center"/>
      <protection locked="0"/>
    </xf>
    <xf numFmtId="0" fontId="2" fillId="0" borderId="0" xfId="0" quotePrefix="1" applyFont="1" applyAlignment="1" applyProtection="1">
      <alignment horizontal="center" vertical="center"/>
      <protection locked="0"/>
    </xf>
    <xf numFmtId="7" fontId="2" fillId="0" borderId="0" xfId="0" applyNumberFormat="1" applyFont="1" applyAlignment="1" applyProtection="1">
      <alignment horizontal="center" vertical="center"/>
      <protection locked="0"/>
    </xf>
    <xf numFmtId="0" fontId="2" fillId="0" borderId="0" xfId="0" quotePrefix="1" applyFont="1" applyAlignment="1" applyProtection="1">
      <alignment horizontal="left" vertical="center"/>
      <protection locked="0"/>
    </xf>
    <xf numFmtId="0" fontId="1"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7" fontId="16" fillId="0" borderId="0" xfId="0" applyNumberFormat="1" applyFont="1" applyAlignment="1" applyProtection="1">
      <alignment horizontal="center" vertical="center"/>
      <protection locked="0"/>
    </xf>
    <xf numFmtId="8" fontId="2" fillId="0" borderId="0" xfId="0" applyNumberFormat="1"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center"/>
      <protection locked="0"/>
    </xf>
    <xf numFmtId="8" fontId="34" fillId="0" borderId="3" xfId="13"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 fillId="0" borderId="0" xfId="0" applyFont="1" applyAlignment="1" applyProtection="1">
      <alignment horizontal="center" vertical="top" wrapText="1"/>
      <protection locked="0"/>
    </xf>
    <xf numFmtId="0" fontId="14" fillId="0" borderId="0" xfId="0" applyFont="1" applyAlignment="1" applyProtection="1">
      <alignment vertical="center"/>
      <protection locked="0"/>
    </xf>
    <xf numFmtId="7" fontId="2" fillId="0" borderId="0" xfId="0" quotePrefix="1" applyNumberFormat="1" applyFont="1" applyAlignment="1" applyProtection="1">
      <alignment horizontal="center" vertical="center"/>
      <protection locked="0"/>
    </xf>
    <xf numFmtId="0" fontId="20" fillId="0" borderId="0" xfId="0" applyFont="1" applyAlignment="1" applyProtection="1">
      <alignment horizontal="right" vertical="center"/>
      <protection locked="0"/>
    </xf>
    <xf numFmtId="8" fontId="2" fillId="0" borderId="0" xfId="0" applyNumberFormat="1" applyFont="1" applyAlignment="1" applyProtection="1">
      <alignment horizontal="right" vertical="center"/>
      <protection locked="0"/>
    </xf>
    <xf numFmtId="4" fontId="2" fillId="0" borderId="0" xfId="0" applyNumberFormat="1" applyFont="1" applyAlignment="1" applyProtection="1">
      <alignment horizontal="center" vertical="center"/>
      <protection locked="0"/>
    </xf>
    <xf numFmtId="4" fontId="12" fillId="0" borderId="0" xfId="0" applyNumberFormat="1" applyFont="1" applyAlignment="1" applyProtection="1">
      <alignment horizontal="center" vertical="center"/>
      <protection locked="0"/>
    </xf>
    <xf numFmtId="0" fontId="1" fillId="0" borderId="0" xfId="13" applyFont="1" applyAlignment="1" applyProtection="1">
      <alignment horizontal="center" vertical="center"/>
      <protection locked="0"/>
    </xf>
    <xf numFmtId="0" fontId="11" fillId="0" borderId="0" xfId="0" applyFont="1" applyAlignment="1" applyProtection="1">
      <alignment horizontal="center" wrapText="1"/>
      <protection locked="0"/>
    </xf>
    <xf numFmtId="0" fontId="49" fillId="0" borderId="0" xfId="0" applyFont="1" applyProtection="1">
      <alignment horizontal="left"/>
      <protection locked="0"/>
    </xf>
    <xf numFmtId="0" fontId="52" fillId="0" borderId="0" xfId="0" applyFont="1" applyAlignment="1" applyProtection="1">
      <alignment vertical="center" wrapText="1"/>
      <protection locked="0"/>
    </xf>
    <xf numFmtId="7" fontId="12" fillId="0" borderId="0" xfId="0" applyNumberFormat="1" applyFont="1" applyAlignment="1" applyProtection="1">
      <alignment vertical="center"/>
      <protection locked="0"/>
    </xf>
    <xf numFmtId="0" fontId="53" fillId="0" borderId="0" xfId="0" applyFont="1" applyAlignment="1" applyProtection="1">
      <alignment horizontal="center" vertical="center" wrapText="1"/>
      <protection locked="0"/>
    </xf>
    <xf numFmtId="7" fontId="48" fillId="0" borderId="0" xfId="0" applyNumberFormat="1" applyFont="1" applyAlignment="1" applyProtection="1">
      <alignment horizontal="center" vertical="center" wrapText="1"/>
      <protection locked="0"/>
    </xf>
    <xf numFmtId="7" fontId="48" fillId="0" borderId="0" xfId="0" applyNumberFormat="1" applyFont="1" applyAlignment="1" applyProtection="1">
      <alignment vertical="center" wrapText="1"/>
      <protection locked="0"/>
    </xf>
    <xf numFmtId="7" fontId="16" fillId="0" borderId="4" xfId="0" applyNumberFormat="1" applyFont="1" applyBorder="1" applyAlignment="1" applyProtection="1">
      <alignment vertical="center"/>
      <protection locked="0"/>
    </xf>
    <xf numFmtId="7" fontId="16" fillId="0" borderId="5" xfId="0" applyNumberFormat="1" applyFont="1" applyBorder="1" applyAlignment="1" applyProtection="1">
      <alignment vertical="center"/>
      <protection locked="0"/>
    </xf>
    <xf numFmtId="7" fontId="16" fillId="0" borderId="5" xfId="0" applyNumberFormat="1" applyFont="1" applyBorder="1" applyAlignment="1" applyProtection="1">
      <alignment horizontal="center" vertical="center"/>
      <protection locked="0"/>
    </xf>
    <xf numFmtId="7" fontId="48" fillId="0" borderId="5" xfId="0" applyNumberFormat="1" applyFont="1" applyBorder="1" applyAlignment="1" applyProtection="1">
      <alignment vertical="center" wrapText="1"/>
      <protection locked="0"/>
    </xf>
    <xf numFmtId="8" fontId="47" fillId="0" borderId="6" xfId="0" applyNumberFormat="1" applyFont="1" applyBorder="1" applyAlignment="1" applyProtection="1">
      <alignment vertical="center"/>
      <protection locked="0"/>
    </xf>
    <xf numFmtId="7" fontId="52" fillId="0" borderId="0" xfId="0" applyNumberFormat="1" applyFont="1" applyAlignment="1" applyProtection="1">
      <alignment horizontal="center" vertical="center" wrapText="1"/>
      <protection locked="0"/>
    </xf>
    <xf numFmtId="0" fontId="48" fillId="0" borderId="0" xfId="0" applyFont="1" applyAlignment="1" applyProtection="1">
      <alignment vertical="center"/>
      <protection locked="0"/>
    </xf>
    <xf numFmtId="0" fontId="2" fillId="0" borderId="3" xfId="0" applyFont="1" applyBorder="1" applyAlignment="1"/>
    <xf numFmtId="0" fontId="39" fillId="6" borderId="8" xfId="0" applyFont="1" applyFill="1" applyBorder="1" applyAlignment="1" applyProtection="1">
      <alignment horizontal="center" vertical="center" wrapText="1"/>
      <protection hidden="1"/>
    </xf>
    <xf numFmtId="168" fontId="54" fillId="6" borderId="0" xfId="0" applyNumberFormat="1" applyFont="1" applyFill="1" applyAlignment="1" applyProtection="1">
      <alignment horizontal="center" vertical="center" wrapText="1"/>
      <protection hidden="1"/>
    </xf>
    <xf numFmtId="0" fontId="15" fillId="6" borderId="0" xfId="0" applyFont="1" applyFill="1" applyAlignment="1" applyProtection="1">
      <alignment vertical="top" wrapText="1"/>
      <protection hidden="1"/>
    </xf>
    <xf numFmtId="0" fontId="2" fillId="7" borderId="0" xfId="0" applyFont="1" applyFill="1" applyAlignment="1"/>
    <xf numFmtId="0" fontId="38" fillId="6" borderId="0" xfId="0" applyFont="1" applyFill="1" applyAlignment="1" applyProtection="1">
      <alignment horizontal="left" vertical="center"/>
      <protection hidden="1"/>
    </xf>
    <xf numFmtId="1" fontId="11" fillId="6" borderId="0" xfId="0" applyNumberFormat="1" applyFont="1" applyFill="1" applyAlignment="1" applyProtection="1">
      <alignment horizontal="left" vertical="center"/>
      <protection hidden="1"/>
    </xf>
    <xf numFmtId="0" fontId="35" fillId="8" borderId="11" xfId="0" applyFont="1" applyFill="1" applyBorder="1" applyAlignment="1" applyProtection="1">
      <alignment vertical="center"/>
      <protection hidden="1"/>
    </xf>
    <xf numFmtId="0" fontId="35" fillId="8" borderId="8" xfId="0" applyFont="1" applyFill="1" applyBorder="1" applyAlignment="1" applyProtection="1">
      <alignment vertical="center"/>
      <protection hidden="1"/>
    </xf>
    <xf numFmtId="0" fontId="35" fillId="8" borderId="12" xfId="0" applyFont="1" applyFill="1" applyBorder="1" applyAlignment="1" applyProtection="1">
      <alignment vertical="center"/>
      <protection hidden="1"/>
    </xf>
    <xf numFmtId="168" fontId="54" fillId="0" borderId="0" xfId="0" applyNumberFormat="1" applyFont="1" applyAlignment="1" applyProtection="1">
      <alignment horizontal="center" vertical="center" wrapText="1"/>
      <protection hidden="1"/>
    </xf>
    <xf numFmtId="0" fontId="12" fillId="0" borderId="0" xfId="0" quotePrefix="1" applyFont="1" applyAlignment="1" applyProtection="1">
      <alignment horizontal="center" vertical="center"/>
      <protection locked="0"/>
    </xf>
    <xf numFmtId="0" fontId="15" fillId="6" borderId="2" xfId="0" applyFont="1" applyFill="1" applyBorder="1" applyAlignment="1" applyProtection="1">
      <alignment horizontal="right" vertical="center"/>
      <protection hidden="1"/>
    </xf>
    <xf numFmtId="1" fontId="54" fillId="6" borderId="0" xfId="0" quotePrefix="1" applyNumberFormat="1" applyFont="1" applyFill="1" applyAlignment="1" applyProtection="1">
      <alignment horizontal="left" vertical="center"/>
      <protection hidden="1"/>
    </xf>
    <xf numFmtId="2" fontId="2" fillId="0" borderId="3" xfId="0" applyNumberFormat="1" applyFont="1" applyBorder="1" applyAlignment="1"/>
    <xf numFmtId="8" fontId="33" fillId="0" borderId="0" xfId="0" applyNumberFormat="1" applyFont="1" applyAlignment="1" applyProtection="1">
      <alignment vertical="center"/>
      <protection locked="0"/>
    </xf>
    <xf numFmtId="0" fontId="33" fillId="0" borderId="0" xfId="0" applyFont="1" applyAlignment="1" applyProtection="1">
      <alignment horizontal="center" vertical="center"/>
      <protection locked="0"/>
    </xf>
    <xf numFmtId="8" fontId="33" fillId="0" borderId="0" xfId="0" applyNumberFormat="1" applyFont="1" applyAlignment="1" applyProtection="1">
      <alignment horizontal="center" vertical="center"/>
      <protection locked="0"/>
    </xf>
    <xf numFmtId="0" fontId="1" fillId="0" borderId="0" xfId="0" applyFont="1" applyAlignment="1" applyProtection="1">
      <protection hidden="1"/>
    </xf>
    <xf numFmtId="0" fontId="1" fillId="0" borderId="0" xfId="0" applyFont="1" applyAlignment="1" applyProtection="1">
      <alignment horizontal="center"/>
      <protection hidden="1"/>
    </xf>
    <xf numFmtId="0" fontId="47" fillId="0" borderId="0" xfId="0" applyFont="1" applyAlignment="1">
      <alignment horizontal="center" vertical="center"/>
    </xf>
    <xf numFmtId="8" fontId="2" fillId="0" borderId="0" xfId="0" applyNumberFormat="1" applyFont="1" applyAlignment="1" applyProtection="1">
      <alignment horizontal="center" vertical="center"/>
      <protection hidden="1"/>
    </xf>
    <xf numFmtId="0" fontId="1" fillId="0" borderId="0" xfId="0" applyFont="1" applyAlignment="1">
      <alignment vertical="top" wrapText="1"/>
    </xf>
    <xf numFmtId="0" fontId="1" fillId="0" borderId="0" xfId="0" applyFont="1" applyAlignment="1">
      <alignment horizontal="center" vertical="center"/>
    </xf>
    <xf numFmtId="4" fontId="2" fillId="0" borderId="0" xfId="0" applyNumberFormat="1" applyFont="1" applyAlignment="1">
      <alignment horizontal="center" vertical="center" wrapText="1"/>
    </xf>
    <xf numFmtId="0" fontId="1" fillId="0" borderId="0" xfId="0" applyFont="1" applyAlignment="1" applyProtection="1">
      <alignment horizontal="right" vertical="center"/>
      <protection hidden="1"/>
    </xf>
    <xf numFmtId="8" fontId="55" fillId="0" borderId="0" xfId="0" applyNumberFormat="1" applyFont="1" applyAlignment="1" applyProtection="1">
      <alignment horizontal="center" vertical="center" wrapText="1"/>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1" fontId="3" fillId="0" borderId="0" xfId="0" applyNumberFormat="1" applyFont="1" applyAlignment="1" applyProtection="1">
      <alignment horizontal="left" vertical="center"/>
      <protection hidden="1"/>
    </xf>
    <xf numFmtId="0" fontId="7" fillId="0" borderId="0" xfId="0" applyFont="1" applyAlignment="1" applyProtection="1">
      <protection hidden="1"/>
    </xf>
    <xf numFmtId="0" fontId="7" fillId="0" borderId="0" xfId="0" applyFont="1" applyAlignment="1" applyProtection="1">
      <alignment horizontal="center" vertical="center"/>
      <protection hidden="1"/>
    </xf>
    <xf numFmtId="7" fontId="5" fillId="0" borderId="0" xfId="0" applyNumberFormat="1" applyFont="1" applyAlignment="1" applyProtection="1">
      <alignment horizontal="center" vertical="center"/>
      <protection hidden="1"/>
    </xf>
    <xf numFmtId="0" fontId="2" fillId="0" borderId="0" xfId="0" applyFont="1" applyAlignment="1" applyProtection="1">
      <protection hidden="1"/>
    </xf>
    <xf numFmtId="0" fontId="11" fillId="0" borderId="0" xfId="0" applyFont="1" applyAlignment="1" applyProtection="1">
      <alignment horizontal="right" vertical="center"/>
      <protection hidden="1"/>
    </xf>
    <xf numFmtId="8" fontId="1" fillId="0" borderId="0" xfId="0" applyNumberFormat="1" applyFont="1" applyAlignment="1" applyProtection="1">
      <alignment horizontal="center" vertical="center"/>
      <protection hidden="1"/>
    </xf>
    <xf numFmtId="1" fontId="56" fillId="0" borderId="0" xfId="0" applyNumberFormat="1" applyFont="1" applyAlignment="1" applyProtection="1">
      <alignment horizontal="left" vertical="center"/>
      <protection hidden="1"/>
    </xf>
    <xf numFmtId="0" fontId="49" fillId="0" borderId="0" xfId="0" applyFont="1" applyAlignment="1" applyProtection="1">
      <alignment horizontal="center" vertical="center"/>
      <protection hidden="1"/>
    </xf>
    <xf numFmtId="0" fontId="49" fillId="0" borderId="0" xfId="0" quotePrefix="1" applyFont="1" applyAlignment="1" applyProtection="1">
      <alignment horizontal="center" vertical="center"/>
      <protection hidden="1"/>
    </xf>
    <xf numFmtId="7" fontId="49" fillId="0" borderId="0" xfId="0" quotePrefix="1" applyNumberFormat="1" applyFont="1" applyAlignment="1" applyProtection="1">
      <alignment horizontal="center" vertical="center"/>
      <protection hidden="1"/>
    </xf>
    <xf numFmtId="0" fontId="49" fillId="0" borderId="0" xfId="0" applyFont="1" applyAlignment="1" applyProtection="1">
      <protection hidden="1"/>
    </xf>
    <xf numFmtId="0" fontId="49" fillId="0" borderId="0" xfId="0" applyFont="1" applyProtection="1">
      <alignment horizontal="left"/>
      <protection hidden="1"/>
    </xf>
    <xf numFmtId="0" fontId="2" fillId="0" borderId="0" xfId="0" applyFont="1" applyProtection="1">
      <alignment horizontal="left"/>
      <protection hidden="1"/>
    </xf>
    <xf numFmtId="0" fontId="11" fillId="0" borderId="0" xfId="0" applyFont="1" applyAlignment="1">
      <alignment horizontal="center" wrapText="1"/>
    </xf>
    <xf numFmtId="0" fontId="14" fillId="0" borderId="0" xfId="0" applyFont="1" applyProtection="1">
      <alignment horizontal="left"/>
      <protection hidden="1"/>
    </xf>
    <xf numFmtId="8" fontId="2" fillId="0" borderId="0" xfId="0" applyNumberFormat="1" applyFont="1" applyAlignment="1" applyProtection="1">
      <alignment horizontal="right" vertical="center"/>
      <protection hidden="1"/>
    </xf>
    <xf numFmtId="8" fontId="2" fillId="0" borderId="0" xfId="0" applyNumberFormat="1" applyFont="1" applyAlignment="1" applyProtection="1">
      <alignment vertical="center"/>
      <protection hidden="1"/>
    </xf>
    <xf numFmtId="0" fontId="10" fillId="0" borderId="0" xfId="0" applyFont="1" applyAlignment="1">
      <alignment wrapText="1"/>
    </xf>
    <xf numFmtId="8" fontId="47" fillId="0" borderId="0" xfId="0" quotePrefix="1" applyNumberFormat="1" applyFont="1" applyAlignment="1" applyProtection="1">
      <alignment horizontal="left" vertical="center"/>
      <protection hidden="1"/>
    </xf>
    <xf numFmtId="0" fontId="1" fillId="0" borderId="0" xfId="0" applyFont="1" applyAlignment="1">
      <alignment wrapText="1"/>
    </xf>
    <xf numFmtId="0" fontId="15" fillId="0" borderId="0" xfId="0" applyFont="1" applyAlignment="1">
      <alignment horizontal="left" vertical="top" wrapText="1"/>
    </xf>
    <xf numFmtId="0" fontId="14" fillId="0" borderId="0" xfId="0" applyFont="1">
      <alignment horizontal="left"/>
    </xf>
    <xf numFmtId="0" fontId="10" fillId="0" borderId="0" xfId="0" applyFont="1" applyAlignment="1">
      <alignment vertical="top" wrapText="1"/>
    </xf>
    <xf numFmtId="0" fontId="1" fillId="0" borderId="0" xfId="0" applyFont="1" applyAlignment="1">
      <alignment horizontal="center"/>
    </xf>
    <xf numFmtId="0" fontId="19" fillId="0" borderId="0" xfId="0" applyFont="1" applyAlignment="1" applyProtection="1">
      <alignment vertical="center"/>
      <protection locked="0"/>
    </xf>
    <xf numFmtId="0" fontId="52" fillId="0" borderId="0" xfId="0" applyFont="1" applyAlignment="1" applyProtection="1">
      <alignment vertical="center"/>
      <protection locked="0"/>
    </xf>
    <xf numFmtId="38" fontId="48" fillId="0" borderId="0" xfId="0" quotePrefix="1" applyNumberFormat="1" applyFont="1" applyAlignment="1" applyProtection="1">
      <alignment horizontal="center" vertical="center"/>
      <protection locked="0"/>
    </xf>
    <xf numFmtId="6" fontId="48" fillId="0" borderId="0" xfId="0" applyNumberFormat="1" applyFont="1" applyAlignment="1" applyProtection="1">
      <alignment horizontal="center" vertical="center"/>
      <protection locked="0"/>
    </xf>
    <xf numFmtId="8" fontId="52" fillId="0" borderId="0" xfId="0" applyNumberFormat="1" applyFont="1" applyAlignment="1" applyProtection="1">
      <alignment vertical="center"/>
      <protection locked="0"/>
    </xf>
    <xf numFmtId="8" fontId="52"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12" fillId="0" borderId="3" xfId="0" applyFont="1" applyBorder="1" applyAlignment="1" applyProtection="1">
      <alignment horizontal="center"/>
      <protection locked="0"/>
    </xf>
    <xf numFmtId="0" fontId="12" fillId="0" borderId="0" xfId="0" applyFont="1" applyAlignment="1" applyProtection="1">
      <protection locked="0"/>
    </xf>
    <xf numFmtId="0" fontId="2" fillId="10" borderId="0" xfId="0" applyFont="1" applyFill="1" applyAlignment="1" applyProtection="1">
      <protection locked="0"/>
    </xf>
    <xf numFmtId="168" fontId="15" fillId="0" borderId="0" xfId="0" applyNumberFormat="1" applyFont="1" applyAlignment="1" applyProtection="1">
      <alignment horizontal="center" vertical="center" wrapText="1"/>
      <protection hidden="1"/>
    </xf>
    <xf numFmtId="168" fontId="54" fillId="0" borderId="0" xfId="0" applyNumberFormat="1" applyFont="1" applyAlignment="1" applyProtection="1">
      <alignment horizontal="center" vertical="center"/>
      <protection hidden="1"/>
    </xf>
    <xf numFmtId="0" fontId="2" fillId="0" borderId="3" xfId="0" applyFont="1" applyBorder="1" applyAlignment="1" applyProtection="1">
      <alignment horizontal="right"/>
      <protection locked="0"/>
    </xf>
    <xf numFmtId="8" fontId="54" fillId="6" borderId="3" xfId="0" quotePrefix="1" applyNumberFormat="1" applyFont="1" applyFill="1" applyBorder="1" applyAlignment="1" applyProtection="1">
      <alignment vertical="center"/>
      <protection hidden="1"/>
    </xf>
    <xf numFmtId="8" fontId="54" fillId="0" borderId="3" xfId="0" quotePrefix="1" applyNumberFormat="1" applyFont="1" applyBorder="1" applyAlignment="1" applyProtection="1">
      <alignment vertical="center"/>
      <protection hidden="1"/>
    </xf>
    <xf numFmtId="0" fontId="2" fillId="0" borderId="3" xfId="0" applyFont="1" applyBorder="1" applyAlignment="1" applyProtection="1">
      <alignment horizontal="center"/>
      <protection locked="0"/>
    </xf>
    <xf numFmtId="44" fontId="2" fillId="0" borderId="3" xfId="3" applyFont="1" applyFill="1" applyBorder="1" applyAlignment="1" applyProtection="1"/>
    <xf numFmtId="168" fontId="15" fillId="0" borderId="0" xfId="3" applyNumberFormat="1" applyFont="1" applyFill="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2" fillId="3" borderId="0" xfId="13" applyFill="1" applyAlignment="1" applyProtection="1">
      <alignment vertical="top" wrapText="1"/>
      <protection hidden="1"/>
    </xf>
    <xf numFmtId="0" fontId="1" fillId="3" borderId="0" xfId="13" applyFont="1" applyFill="1" applyAlignment="1" applyProtection="1">
      <alignment horizontal="left" vertical="top"/>
      <protection hidden="1"/>
    </xf>
    <xf numFmtId="0" fontId="2" fillId="3" borderId="0" xfId="13" applyFill="1" applyAlignment="1" applyProtection="1">
      <alignment horizontal="left" vertical="top"/>
      <protection hidden="1"/>
    </xf>
    <xf numFmtId="0" fontId="11" fillId="4" borderId="0" xfId="13" applyFont="1" applyFill="1" applyAlignment="1" applyProtection="1">
      <alignment horizontal="left" vertical="center" readingOrder="1"/>
      <protection hidden="1"/>
    </xf>
    <xf numFmtId="0" fontId="7" fillId="4" borderId="0" xfId="13" applyFont="1" applyFill="1" applyAlignment="1" applyProtection="1">
      <alignment horizontal="left" vertical="center" readingOrder="1"/>
      <protection hidden="1"/>
    </xf>
    <xf numFmtId="0" fontId="2" fillId="6" borderId="0" xfId="0" applyFont="1" applyFill="1" applyAlignment="1" applyProtection="1">
      <alignment horizontal="center" vertical="center" wrapText="1"/>
      <protection hidden="1"/>
    </xf>
    <xf numFmtId="8" fontId="55" fillId="6" borderId="0" xfId="0" applyNumberFormat="1" applyFont="1" applyFill="1" applyAlignment="1" applyProtection="1">
      <alignment horizontal="center" vertical="center"/>
      <protection hidden="1"/>
    </xf>
    <xf numFmtId="0" fontId="2" fillId="6" borderId="0" xfId="0" applyFont="1" applyFill="1" applyAlignment="1" applyProtection="1">
      <alignment horizontal="left" vertical="center"/>
      <protection hidden="1"/>
    </xf>
    <xf numFmtId="164" fontId="48" fillId="6" borderId="0" xfId="0" applyNumberFormat="1" applyFont="1" applyFill="1" applyAlignment="1" applyProtection="1">
      <alignment horizontal="center" vertical="center"/>
      <protection hidden="1"/>
    </xf>
    <xf numFmtId="0" fontId="12" fillId="7"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12" fillId="7" borderId="15"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165" fontId="44" fillId="0" borderId="3" xfId="0" applyNumberFormat="1" applyFont="1" applyBorder="1" applyAlignment="1">
      <alignment horizontal="center"/>
    </xf>
    <xf numFmtId="8" fontId="2" fillId="0" borderId="0" xfId="0" applyNumberFormat="1" applyFont="1" applyAlignment="1"/>
    <xf numFmtId="7" fontId="2" fillId="0" borderId="0" xfId="0" applyNumberFormat="1" applyFont="1" applyAlignment="1">
      <alignment horizontal="center" vertical="center" wrapText="1"/>
    </xf>
    <xf numFmtId="0" fontId="12" fillId="0" borderId="0" xfId="0" applyFont="1" applyAlignme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7" fontId="12" fillId="0" borderId="0" xfId="0" applyNumberFormat="1" applyFont="1" applyAlignment="1">
      <alignment horizontal="center" vertical="center" wrapText="1"/>
    </xf>
    <xf numFmtId="0" fontId="2" fillId="0" borderId="0" xfId="0" applyFont="1" applyAlignment="1">
      <alignment vertical="center" wrapText="1"/>
    </xf>
    <xf numFmtId="0" fontId="12" fillId="0" borderId="0" xfId="0" applyFont="1" applyAlignment="1">
      <alignment horizontal="center"/>
    </xf>
    <xf numFmtId="2" fontId="12" fillId="0" borderId="0" xfId="3" applyNumberFormat="1" applyFont="1" applyFill="1" applyBorder="1" applyAlignment="1" applyProtection="1">
      <alignment horizontal="center" vertical="center" wrapText="1"/>
    </xf>
    <xf numFmtId="0" fontId="8" fillId="0" borderId="0" xfId="0" applyFont="1" applyAlignment="1">
      <alignment horizontal="left" vertical="center"/>
    </xf>
    <xf numFmtId="0" fontId="20" fillId="0" borderId="0" xfId="0" applyFont="1" applyAlignment="1">
      <alignment horizontal="left" vertical="center"/>
    </xf>
    <xf numFmtId="0" fontId="57" fillId="0" borderId="6" xfId="0" applyFont="1" applyBorder="1" applyAlignment="1">
      <alignment horizontal="left" vertical="center"/>
    </xf>
    <xf numFmtId="0" fontId="49" fillId="0" borderId="3" xfId="0" applyFont="1" applyBorder="1" applyAlignment="1">
      <alignment horizontal="left" vertical="center"/>
    </xf>
    <xf numFmtId="0" fontId="49" fillId="0" borderId="3" xfId="0" applyFont="1" applyBorder="1" applyAlignment="1">
      <alignment horizontal="center" vertical="center"/>
    </xf>
    <xf numFmtId="2" fontId="57" fillId="0" borderId="6" xfId="0" applyNumberFormat="1" applyFont="1" applyBorder="1" applyAlignment="1">
      <alignment horizontal="left" vertical="center"/>
    </xf>
    <xf numFmtId="2" fontId="57" fillId="0" borderId="0" xfId="0" applyNumberFormat="1" applyFont="1" applyAlignment="1">
      <alignment horizontal="left" vertical="center"/>
    </xf>
    <xf numFmtId="0" fontId="49" fillId="0" borderId="0" xfId="0" applyFont="1" applyAlignment="1">
      <alignment horizontal="left" vertical="center"/>
    </xf>
    <xf numFmtId="0" fontId="48" fillId="0" borderId="0" xfId="0" applyFont="1" applyAlignment="1">
      <alignment vertical="center" wrapText="1"/>
    </xf>
    <xf numFmtId="0" fontId="12" fillId="0" borderId="0" xfId="0" applyFont="1" applyAlignment="1">
      <alignment horizontal="center" vertical="center"/>
    </xf>
    <xf numFmtId="0" fontId="8" fillId="0" borderId="6" xfId="0" applyFont="1" applyBorder="1" applyAlignment="1">
      <alignment horizontal="left" vertical="center"/>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center" vertical="center"/>
    </xf>
    <xf numFmtId="8" fontId="48" fillId="0" borderId="0" xfId="0" applyNumberFormat="1" applyFont="1" applyAlignment="1">
      <alignment horizontal="center" vertical="center"/>
    </xf>
    <xf numFmtId="6" fontId="48" fillId="0" borderId="3" xfId="0" quotePrefix="1" applyNumberFormat="1" applyFont="1" applyBorder="1" applyAlignment="1">
      <alignment horizontal="center" vertical="center"/>
    </xf>
    <xf numFmtId="0" fontId="12" fillId="0" borderId="3"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2" fontId="12" fillId="0" borderId="3" xfId="3" applyNumberFormat="1" applyFont="1" applyFill="1" applyBorder="1" applyAlignment="1" applyProtection="1">
      <alignment horizontal="center" vertical="center"/>
    </xf>
    <xf numFmtId="7" fontId="2" fillId="0" borderId="3" xfId="0" applyNumberFormat="1" applyFont="1" applyBorder="1" applyAlignment="1">
      <alignment horizontal="center" vertical="center" wrapText="1"/>
    </xf>
    <xf numFmtId="38" fontId="2" fillId="0" borderId="3" xfId="0" applyNumberFormat="1" applyFont="1" applyBorder="1" applyAlignment="1"/>
    <xf numFmtId="6" fontId="2" fillId="0" borderId="3" xfId="0" applyNumberFormat="1" applyFont="1" applyBorder="1" applyAlignment="1"/>
    <xf numFmtId="8" fontId="2" fillId="0" borderId="3" xfId="0" applyNumberFormat="1" applyFont="1" applyBorder="1" applyAlignment="1"/>
    <xf numFmtId="0" fontId="20" fillId="0" borderId="0" xfId="0" applyFont="1" applyAlignment="1">
      <alignment horizontal="center" vertical="center"/>
    </xf>
    <xf numFmtId="8" fontId="52" fillId="0" borderId="0" xfId="0" applyNumberFormat="1" applyFont="1" applyAlignment="1">
      <alignment horizontal="center" vertical="center"/>
    </xf>
    <xf numFmtId="38" fontId="48" fillId="0" borderId="0" xfId="0" quotePrefix="1" applyNumberFormat="1" applyFont="1" applyAlignment="1">
      <alignment horizontal="center" vertical="center"/>
    </xf>
    <xf numFmtId="0" fontId="12" fillId="0" borderId="0" xfId="0" quotePrefix="1" applyFont="1" applyAlignment="1">
      <alignment horizontal="center" vertical="center"/>
    </xf>
    <xf numFmtId="7" fontId="32" fillId="0" borderId="0" xfId="0" applyNumberFormat="1" applyFont="1" applyAlignment="1" applyProtection="1">
      <alignment vertical="center" wrapText="1"/>
      <protection locked="0"/>
    </xf>
    <xf numFmtId="0" fontId="15" fillId="0" borderId="3" xfId="0" applyFont="1" applyBorder="1" applyAlignment="1" applyProtection="1">
      <alignment horizontal="center" vertical="center"/>
      <protection locked="0"/>
    </xf>
    <xf numFmtId="167" fontId="15" fillId="0" borderId="13" xfId="0" applyNumberFormat="1" applyFont="1" applyBorder="1" applyAlignment="1" applyProtection="1">
      <alignment horizontal="center" vertical="center"/>
      <protection hidden="1"/>
    </xf>
    <xf numFmtId="168" fontId="15" fillId="0" borderId="9" xfId="0" applyNumberFormat="1" applyFont="1" applyBorder="1" applyAlignment="1" applyProtection="1">
      <alignment horizontal="center"/>
      <protection hidden="1"/>
    </xf>
    <xf numFmtId="168" fontId="15" fillId="0" borderId="9" xfId="0" applyNumberFormat="1" applyFont="1" applyBorder="1" applyAlignment="1" applyProtection="1">
      <alignment horizontal="center" vertical="center"/>
      <protection hidden="1"/>
    </xf>
    <xf numFmtId="0" fontId="15" fillId="0" borderId="9" xfId="0" applyFont="1" applyBorder="1" applyAlignment="1" applyProtection="1">
      <alignment horizontal="center" vertical="center" wrapText="1"/>
      <protection hidden="1"/>
    </xf>
    <xf numFmtId="168" fontId="15" fillId="0" borderId="9" xfId="0" applyNumberFormat="1" applyFont="1" applyBorder="1" applyAlignment="1" applyProtection="1">
      <alignment horizontal="center" vertical="center" wrapText="1"/>
      <protection hidden="1"/>
    </xf>
    <xf numFmtId="0" fontId="2" fillId="0" borderId="16" xfId="0" applyFont="1" applyBorder="1" applyAlignment="1" applyProtection="1">
      <protection hidden="1"/>
    </xf>
    <xf numFmtId="0" fontId="2" fillId="0" borderId="15" xfId="0" applyFont="1" applyBorder="1" applyAlignment="1" applyProtection="1">
      <protection hidden="1"/>
    </xf>
    <xf numFmtId="0" fontId="2" fillId="0" borderId="7" xfId="0" applyFont="1" applyBorder="1" applyAlignment="1" applyProtection="1">
      <protection hidden="1"/>
    </xf>
    <xf numFmtId="0" fontId="2" fillId="0" borderId="15" xfId="0" applyFont="1" applyBorder="1" applyAlignment="1"/>
    <xf numFmtId="0" fontId="2" fillId="0" borderId="17" xfId="0" applyFont="1" applyBorder="1" applyAlignment="1" applyProtection="1">
      <protection hidden="1"/>
    </xf>
    <xf numFmtId="169" fontId="2" fillId="0" borderId="3" xfId="27" applyNumberFormat="1" applyFont="1" applyBorder="1" applyAlignment="1"/>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protection hidden="1"/>
    </xf>
    <xf numFmtId="168" fontId="15" fillId="0" borderId="0" xfId="0" applyNumberFormat="1" applyFont="1" applyAlignment="1" applyProtection="1">
      <alignment horizontal="center"/>
      <protection hidden="1"/>
    </xf>
    <xf numFmtId="168" fontId="15" fillId="0" borderId="0" xfId="0" applyNumberFormat="1" applyFont="1" applyAlignment="1" applyProtection="1">
      <alignment horizontal="center" wrapText="1"/>
      <protection hidden="1"/>
    </xf>
    <xf numFmtId="168" fontId="15" fillId="0" borderId="0" xfId="0" applyNumberFormat="1" applyFont="1" applyAlignment="1" applyProtection="1">
      <alignment horizontal="center" vertical="top"/>
      <protection hidden="1"/>
    </xf>
    <xf numFmtId="0" fontId="2" fillId="0" borderId="9" xfId="0" applyFont="1" applyBorder="1" applyAlignment="1"/>
    <xf numFmtId="0" fontId="52" fillId="10" borderId="0" xfId="0" applyFont="1" applyFill="1" applyAlignment="1" applyProtection="1">
      <alignment vertical="center"/>
      <protection locked="0"/>
    </xf>
    <xf numFmtId="0" fontId="2" fillId="10" borderId="0" xfId="0" applyFont="1" applyFill="1" applyAlignment="1"/>
    <xf numFmtId="8" fontId="63" fillId="0" borderId="0" xfId="0" applyNumberFormat="1" applyFont="1" applyAlignment="1" applyProtection="1">
      <alignment vertical="center" wrapText="1"/>
      <protection locked="0"/>
    </xf>
    <xf numFmtId="7" fontId="48" fillId="10" borderId="0" xfId="0" applyNumberFormat="1" applyFont="1" applyFill="1" applyAlignment="1" applyProtection="1">
      <alignment vertical="center" wrapText="1"/>
      <protection locked="0"/>
    </xf>
    <xf numFmtId="7" fontId="32" fillId="10" borderId="0" xfId="0" applyNumberFormat="1" applyFont="1" applyFill="1" applyAlignment="1" applyProtection="1">
      <alignment vertical="center" wrapText="1"/>
      <protection locked="0"/>
    </xf>
    <xf numFmtId="0" fontId="52" fillId="17" borderId="0" xfId="0" applyFont="1" applyFill="1" applyAlignment="1" applyProtection="1">
      <alignment vertical="center"/>
      <protection locked="0"/>
    </xf>
    <xf numFmtId="0" fontId="2" fillId="17" borderId="0" xfId="0" applyFont="1" applyFill="1" applyAlignment="1" applyProtection="1">
      <protection locked="0"/>
    </xf>
    <xf numFmtId="0" fontId="1" fillId="10" borderId="0" xfId="0" applyFont="1" applyFill="1" applyAlignment="1" applyProtection="1">
      <alignment horizontal="center" vertical="center"/>
      <protection locked="0"/>
    </xf>
    <xf numFmtId="1" fontId="12" fillId="10" borderId="3" xfId="0" applyNumberFormat="1" applyFont="1" applyFill="1" applyBorder="1" applyAlignment="1" applyProtection="1">
      <alignment vertical="center"/>
      <protection locked="0"/>
    </xf>
    <xf numFmtId="0" fontId="12" fillId="17" borderId="3" xfId="0" applyFont="1" applyFill="1" applyBorder="1" applyAlignment="1" applyProtection="1">
      <alignment vertical="center"/>
      <protection locked="0"/>
    </xf>
    <xf numFmtId="8" fontId="12" fillId="17" borderId="3" xfId="0" applyNumberFormat="1" applyFont="1" applyFill="1" applyBorder="1" applyAlignment="1" applyProtection="1">
      <alignment horizontal="right" vertical="center"/>
      <protection locked="0"/>
    </xf>
    <xf numFmtId="0" fontId="12" fillId="17" borderId="3" xfId="0" applyFont="1" applyFill="1" applyBorder="1" applyAlignment="1">
      <alignment horizontal="center"/>
    </xf>
    <xf numFmtId="0" fontId="12" fillId="10" borderId="3" xfId="0" applyFont="1" applyFill="1" applyBorder="1" applyAlignment="1" applyProtection="1">
      <alignment vertical="center"/>
      <protection locked="0"/>
    </xf>
    <xf numFmtId="0" fontId="12" fillId="10" borderId="3" xfId="0" applyFont="1" applyFill="1" applyBorder="1" applyAlignment="1" applyProtection="1">
      <alignment horizontal="right"/>
      <protection locked="0"/>
    </xf>
    <xf numFmtId="0" fontId="15" fillId="10" borderId="3" xfId="0" applyFont="1" applyFill="1" applyBorder="1" applyAlignment="1" applyProtection="1">
      <alignment horizontal="center" vertical="center"/>
      <protection locked="0"/>
    </xf>
    <xf numFmtId="0" fontId="15" fillId="10" borderId="3" xfId="0" applyFont="1" applyFill="1" applyBorder="1" applyAlignment="1" applyProtection="1">
      <alignment horizontal="left" vertical="center"/>
      <protection locked="0"/>
    </xf>
    <xf numFmtId="0" fontId="15" fillId="10" borderId="3" xfId="0" applyFont="1" applyFill="1" applyBorder="1">
      <alignment horizontal="left"/>
    </xf>
    <xf numFmtId="0" fontId="2" fillId="10" borderId="0" xfId="0" applyFont="1" applyFill="1" applyAlignment="1" applyProtection="1">
      <alignment horizontal="center" vertical="center"/>
      <protection locked="0"/>
    </xf>
    <xf numFmtId="0" fontId="12" fillId="10" borderId="3" xfId="0" applyFont="1" applyFill="1" applyBorder="1" applyAlignment="1" applyProtection="1">
      <alignment horizontal="center" vertical="center"/>
      <protection locked="0"/>
    </xf>
    <xf numFmtId="170" fontId="12" fillId="10" borderId="3" xfId="0" applyNumberFormat="1" applyFont="1" applyFill="1" applyBorder="1" applyAlignment="1" applyProtection="1">
      <alignment horizontal="center" vertical="center"/>
      <protection locked="0"/>
    </xf>
    <xf numFmtId="2" fontId="2" fillId="10" borderId="0" xfId="0" applyNumberFormat="1" applyFont="1" applyFill="1" applyAlignment="1" applyProtection="1">
      <alignment horizontal="center" vertical="center"/>
      <protection locked="0"/>
    </xf>
    <xf numFmtId="170" fontId="2" fillId="10" borderId="0" xfId="0" applyNumberFormat="1" applyFont="1" applyFill="1" applyAlignment="1" applyProtection="1">
      <alignment horizontal="center" vertical="center"/>
      <protection locked="0"/>
    </xf>
    <xf numFmtId="171" fontId="12" fillId="10" borderId="3" xfId="0" applyNumberFormat="1"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2" fontId="12" fillId="10" borderId="3" xfId="0" applyNumberFormat="1" applyFont="1" applyFill="1" applyBorder="1" applyAlignment="1" applyProtection="1">
      <alignment horizontal="right"/>
      <protection locked="0"/>
    </xf>
    <xf numFmtId="8" fontId="12" fillId="10" borderId="3" xfId="0" applyNumberFormat="1" applyFont="1" applyFill="1" applyBorder="1" applyAlignment="1" applyProtection="1">
      <alignment horizontal="right" vertical="center"/>
      <protection locked="0"/>
    </xf>
    <xf numFmtId="0" fontId="2" fillId="10" borderId="0" xfId="0" applyFont="1" applyFill="1" applyProtection="1">
      <alignment horizontal="left"/>
      <protection locked="0"/>
    </xf>
    <xf numFmtId="8" fontId="2" fillId="10" borderId="0" xfId="0" applyNumberFormat="1" applyFont="1" applyFill="1" applyAlignment="1" applyProtection="1">
      <alignment vertical="center" wrapText="1"/>
      <protection locked="0"/>
    </xf>
    <xf numFmtId="0" fontId="1" fillId="17" borderId="0" xfId="0" applyFont="1" applyFill="1" applyAlignment="1" applyProtection="1">
      <alignment horizontal="center" vertical="center"/>
      <protection locked="0"/>
    </xf>
    <xf numFmtId="0" fontId="2" fillId="17" borderId="0" xfId="0" applyFont="1" applyFill="1" applyAlignment="1"/>
    <xf numFmtId="0" fontId="12" fillId="11" borderId="3" xfId="0" applyFont="1" applyFill="1" applyBorder="1" applyAlignment="1">
      <alignment horizontal="center"/>
    </xf>
    <xf numFmtId="40" fontId="48" fillId="0" borderId="3" xfId="0" quotePrefix="1" applyNumberFormat="1" applyFont="1" applyBorder="1" applyAlignment="1">
      <alignment horizontal="center" vertical="center"/>
    </xf>
    <xf numFmtId="8" fontId="54" fillId="10" borderId="3" xfId="0" quotePrefix="1" applyNumberFormat="1" applyFont="1" applyFill="1" applyBorder="1" applyAlignment="1" applyProtection="1">
      <alignment vertical="center"/>
      <protection hidden="1"/>
    </xf>
    <xf numFmtId="0" fontId="64" fillId="18" borderId="0" xfId="0" applyFont="1" applyFill="1" applyAlignment="1"/>
    <xf numFmtId="0" fontId="47" fillId="10" borderId="0" xfId="0" applyFont="1" applyFill="1" applyAlignment="1" applyProtection="1">
      <alignment horizontal="center" vertical="center"/>
      <protection locked="0"/>
    </xf>
    <xf numFmtId="0" fontId="2" fillId="10" borderId="3" xfId="0" applyFont="1" applyFill="1" applyBorder="1" applyAlignment="1" applyProtection="1">
      <protection locked="0"/>
    </xf>
    <xf numFmtId="172" fontId="12" fillId="0" borderId="0" xfId="0" applyNumberFormat="1" applyFont="1" applyAlignment="1" applyProtection="1">
      <alignment horizontal="center" vertical="center"/>
      <protection locked="0"/>
    </xf>
    <xf numFmtId="0" fontId="18" fillId="0" borderId="3" xfId="0" applyFont="1" applyBorder="1" applyAlignment="1" applyProtection="1">
      <alignment horizontal="center" wrapText="1"/>
      <protection locked="0"/>
    </xf>
    <xf numFmtId="0" fontId="18" fillId="0" borderId="26" xfId="0" applyFont="1" applyBorder="1" applyAlignment="1" applyProtection="1">
      <alignment horizontal="center" wrapText="1"/>
      <protection locked="0"/>
    </xf>
    <xf numFmtId="0" fontId="42" fillId="7" borderId="3" xfId="0" applyFont="1" applyFill="1" applyBorder="1" applyAlignment="1" applyProtection="1">
      <alignment horizontal="center" vertical="center" wrapText="1"/>
      <protection hidden="1"/>
    </xf>
    <xf numFmtId="0" fontId="2" fillId="10" borderId="3" xfId="0" applyFont="1" applyFill="1" applyBorder="1">
      <alignment horizontal="left"/>
    </xf>
    <xf numFmtId="0" fontId="2" fillId="17" borderId="3" xfId="0" applyFont="1" applyFill="1" applyBorder="1">
      <alignment horizontal="left"/>
    </xf>
    <xf numFmtId="0" fontId="12" fillId="17" borderId="3" xfId="0" applyFont="1" applyFill="1" applyBorder="1" applyAlignment="1">
      <alignment horizontal="center" vertical="center"/>
    </xf>
    <xf numFmtId="0" fontId="12" fillId="10" borderId="3" xfId="0" applyFont="1" applyFill="1" applyBorder="1" applyAlignment="1">
      <alignment horizontal="center"/>
    </xf>
    <xf numFmtId="165" fontId="44" fillId="10" borderId="3" xfId="0" applyNumberFormat="1" applyFont="1" applyFill="1" applyBorder="1" applyAlignment="1">
      <alignment horizontal="center"/>
    </xf>
    <xf numFmtId="173" fontId="12" fillId="10" borderId="0" xfId="0" applyNumberFormat="1" applyFont="1" applyFill="1" applyAlignment="1" applyProtection="1">
      <alignment horizontal="center" vertical="center"/>
      <protection locked="0"/>
    </xf>
    <xf numFmtId="8" fontId="2" fillId="10" borderId="0" xfId="0" applyNumberFormat="1" applyFont="1" applyFill="1" applyAlignment="1"/>
    <xf numFmtId="0" fontId="12" fillId="10" borderId="3" xfId="0" applyFont="1" applyFill="1" applyBorder="1" applyAlignment="1">
      <alignment horizontal="center" vertical="center"/>
    </xf>
    <xf numFmtId="0" fontId="51" fillId="17" borderId="3" xfId="0" applyFont="1" applyFill="1" applyBorder="1" applyAlignment="1" applyProtection="1">
      <alignment vertical="center"/>
      <protection locked="0"/>
    </xf>
    <xf numFmtId="0" fontId="12" fillId="17" borderId="0" xfId="0" applyFont="1" applyFill="1" applyAlignment="1" applyProtection="1">
      <alignment vertical="center"/>
      <protection locked="0"/>
    </xf>
    <xf numFmtId="0" fontId="51" fillId="17" borderId="10" xfId="0" applyFont="1" applyFill="1" applyBorder="1" applyAlignment="1" applyProtection="1">
      <alignment vertical="center"/>
      <protection locked="0"/>
    </xf>
    <xf numFmtId="0" fontId="12" fillId="10" borderId="3" xfId="0" applyFont="1" applyFill="1" applyBorder="1" applyAlignment="1" applyProtection="1">
      <protection locked="0"/>
    </xf>
    <xf numFmtId="8" fontId="48" fillId="11" borderId="3" xfId="0" applyNumberFormat="1" applyFont="1" applyFill="1" applyBorder="1" applyAlignment="1" applyProtection="1">
      <alignment horizontal="right" vertical="center"/>
      <protection locked="0"/>
    </xf>
    <xf numFmtId="8" fontId="54" fillId="10" borderId="3" xfId="0" quotePrefix="1" applyNumberFormat="1" applyFont="1" applyFill="1" applyBorder="1" applyAlignment="1" applyProtection="1">
      <protection hidden="1"/>
    </xf>
    <xf numFmtId="164" fontId="12" fillId="10" borderId="3" xfId="0" applyNumberFormat="1" applyFont="1" applyFill="1" applyBorder="1" applyAlignment="1" applyProtection="1">
      <alignment horizontal="right"/>
      <protection locked="0"/>
    </xf>
    <xf numFmtId="0" fontId="12" fillId="10" borderId="0" xfId="0" applyFont="1" applyFill="1" applyAlignment="1" applyProtection="1">
      <alignment horizontal="left" vertical="center"/>
      <protection locked="0"/>
    </xf>
    <xf numFmtId="8" fontId="34" fillId="17" borderId="3" xfId="13" applyNumberFormat="1" applyFont="1" applyFill="1" applyBorder="1" applyAlignment="1" applyProtection="1">
      <alignment horizontal="center" vertical="center"/>
      <protection locked="0"/>
    </xf>
    <xf numFmtId="0" fontId="48" fillId="17" borderId="3" xfId="0" applyFont="1" applyFill="1" applyBorder="1" applyAlignment="1" applyProtection="1">
      <alignment vertical="center" wrapText="1"/>
      <protection locked="0"/>
    </xf>
    <xf numFmtId="0" fontId="2" fillId="17" borderId="3" xfId="0" applyFont="1" applyFill="1" applyBorder="1" applyAlignment="1" applyProtection="1">
      <protection locked="0"/>
    </xf>
    <xf numFmtId="0" fontId="2" fillId="11" borderId="0" xfId="0" applyFont="1" applyFill="1" applyProtection="1">
      <alignment horizontal="left"/>
      <protection locked="0"/>
    </xf>
    <xf numFmtId="0" fontId="12" fillId="11" borderId="0" xfId="0" applyFont="1" applyFill="1" applyAlignment="1" applyProtection="1">
      <alignment vertical="center"/>
      <protection locked="0"/>
    </xf>
    <xf numFmtId="0" fontId="12" fillId="11" borderId="0" xfId="0" applyFont="1" applyFill="1" applyAlignment="1" applyProtection="1">
      <alignment horizontal="center" vertical="center"/>
      <protection locked="0"/>
    </xf>
    <xf numFmtId="0" fontId="0" fillId="10" borderId="0" xfId="0" applyFill="1" applyAlignment="1"/>
    <xf numFmtId="0" fontId="49" fillId="0" borderId="3" xfId="0" applyFont="1" applyBorder="1" applyAlignment="1">
      <alignment wrapText="1"/>
    </xf>
    <xf numFmtId="8" fontId="52" fillId="0" borderId="3" xfId="0" applyNumberFormat="1" applyFont="1" applyBorder="1" applyAlignment="1" applyProtection="1">
      <alignment horizontal="center" vertical="center"/>
      <protection locked="0"/>
    </xf>
    <xf numFmtId="8" fontId="42" fillId="7" borderId="3" xfId="0" applyNumberFormat="1" applyFont="1" applyFill="1" applyBorder="1" applyAlignment="1" applyProtection="1">
      <alignment horizontal="center" vertical="center" wrapText="1"/>
      <protection hidden="1"/>
    </xf>
    <xf numFmtId="168" fontId="15" fillId="0" borderId="13" xfId="0" applyNumberFormat="1" applyFont="1" applyBorder="1" applyAlignment="1" applyProtection="1">
      <alignment horizontal="center" vertical="center" wrapText="1"/>
      <protection hidden="1"/>
    </xf>
    <xf numFmtId="168" fontId="15" fillId="0" borderId="3" xfId="0" applyNumberFormat="1" applyFont="1" applyBorder="1" applyAlignment="1" applyProtection="1">
      <alignment horizontal="center" vertical="center"/>
      <protection hidden="1"/>
    </xf>
    <xf numFmtId="2" fontId="15" fillId="6" borderId="0" xfId="0" applyNumberFormat="1" applyFont="1" applyFill="1" applyAlignment="1" applyProtection="1">
      <alignment horizontal="center" vertical="center" wrapText="1"/>
      <protection hidden="1"/>
    </xf>
    <xf numFmtId="168" fontId="15" fillId="6" borderId="0" xfId="0" applyNumberFormat="1" applyFont="1" applyFill="1" applyAlignment="1" applyProtection="1">
      <alignment horizontal="center" vertical="center" wrapText="1"/>
      <protection hidden="1"/>
    </xf>
    <xf numFmtId="8" fontId="12" fillId="6" borderId="0" xfId="0" applyNumberFormat="1" applyFont="1" applyFill="1" applyAlignment="1" applyProtection="1">
      <alignment vertical="center" wrapText="1"/>
      <protection hidden="1"/>
    </xf>
    <xf numFmtId="0" fontId="16" fillId="10" borderId="0" xfId="0" applyFont="1" applyFill="1" applyAlignment="1" applyProtection="1">
      <alignment vertical="center"/>
      <protection locked="0"/>
    </xf>
    <xf numFmtId="8" fontId="12" fillId="6" borderId="0" xfId="0" applyNumberFormat="1" applyFont="1" applyFill="1" applyAlignment="1" applyProtection="1">
      <alignment horizontal="center" vertical="center"/>
      <protection hidden="1"/>
    </xf>
    <xf numFmtId="8" fontId="2" fillId="6" borderId="0" xfId="0" applyNumberFormat="1" applyFont="1" applyFill="1" applyAlignment="1" applyProtection="1">
      <alignment horizontal="center" vertical="center"/>
      <protection hidden="1"/>
    </xf>
    <xf numFmtId="0" fontId="2" fillId="0" borderId="0" xfId="0" applyFont="1" applyAlignment="1">
      <alignment wrapText="1"/>
    </xf>
    <xf numFmtId="0" fontId="65" fillId="0" borderId="0" xfId="0" applyFont="1">
      <alignment horizontal="left"/>
    </xf>
    <xf numFmtId="0" fontId="49" fillId="0" borderId="0" xfId="0" applyFont="1" applyAlignment="1"/>
    <xf numFmtId="0" fontId="66" fillId="0" borderId="0" xfId="0" applyFont="1" applyAlignment="1"/>
    <xf numFmtId="0" fontId="2" fillId="19" borderId="0" xfId="0" applyFont="1" applyFill="1" applyAlignment="1"/>
    <xf numFmtId="0" fontId="12" fillId="0" borderId="0" xfId="0" applyFont="1" applyAlignment="1" applyProtection="1">
      <alignment vertical="center" wrapText="1"/>
      <protection locked="0"/>
    </xf>
    <xf numFmtId="0" fontId="12" fillId="17" borderId="0" xfId="0" applyFont="1" applyFill="1" applyAlignment="1" applyProtection="1">
      <alignment vertical="center" wrapText="1"/>
      <protection locked="0"/>
    </xf>
    <xf numFmtId="0" fontId="49" fillId="11" borderId="0" xfId="0" applyFont="1" applyFill="1" applyAlignment="1"/>
    <xf numFmtId="0" fontId="2" fillId="11" borderId="0" xfId="0" applyFont="1" applyFill="1" applyAlignment="1"/>
    <xf numFmtId="0" fontId="67" fillId="11" borderId="0" xfId="0" applyFont="1" applyFill="1" applyAlignment="1"/>
    <xf numFmtId="0" fontId="68" fillId="11" borderId="0" xfId="0" applyFont="1" applyFill="1" applyAlignment="1"/>
    <xf numFmtId="168" fontId="70" fillId="0" borderId="3" xfId="0" applyNumberFormat="1" applyFont="1" applyBorder="1" applyAlignment="1" applyProtection="1">
      <alignment horizontal="center" vertical="center"/>
      <protection hidden="1"/>
    </xf>
    <xf numFmtId="0" fontId="70" fillId="0" borderId="3" xfId="0" applyFont="1" applyBorder="1" applyAlignment="1" applyProtection="1">
      <alignment horizontal="center" vertical="center" wrapText="1"/>
      <protection hidden="1"/>
    </xf>
    <xf numFmtId="0" fontId="0" fillId="0" borderId="0" xfId="0" applyAlignment="1"/>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0" fontId="48" fillId="0" borderId="3" xfId="0" applyNumberFormat="1" applyFont="1" applyBorder="1" applyAlignment="1">
      <alignment horizontal="center" vertical="center"/>
    </xf>
    <xf numFmtId="0" fontId="2" fillId="19" borderId="0" xfId="0" applyFont="1" applyFill="1" applyAlignment="1" applyProtection="1">
      <protection locked="0"/>
    </xf>
    <xf numFmtId="7" fontId="16" fillId="10" borderId="0" xfId="0" applyNumberFormat="1" applyFont="1" applyFill="1" applyAlignment="1" applyProtection="1">
      <alignment vertical="center"/>
      <protection locked="0"/>
    </xf>
    <xf numFmtId="0" fontId="2" fillId="19" borderId="0" xfId="0" applyFont="1" applyFill="1" applyAlignment="1" applyProtection="1">
      <alignment horizontal="center"/>
      <protection locked="0"/>
    </xf>
    <xf numFmtId="0" fontId="1" fillId="19" borderId="0" xfId="0" applyFont="1" applyFill="1" applyAlignment="1"/>
    <xf numFmtId="0" fontId="12" fillId="19" borderId="0" xfId="0" applyFont="1" applyFill="1" applyAlignment="1" applyProtection="1">
      <alignment vertical="center"/>
      <protection locked="0"/>
    </xf>
    <xf numFmtId="0" fontId="12" fillId="19" borderId="3" xfId="0" applyFont="1" applyFill="1" applyBorder="1" applyAlignment="1">
      <alignment horizontal="center"/>
    </xf>
    <xf numFmtId="0" fontId="0" fillId="19" borderId="0" xfId="0" applyFill="1" applyAlignment="1"/>
    <xf numFmtId="0" fontId="12" fillId="10" borderId="0" xfId="0" applyFont="1" applyFill="1" applyAlignment="1" applyProtection="1">
      <alignment vertical="center"/>
      <protection locked="0"/>
    </xf>
    <xf numFmtId="0" fontId="15" fillId="6" borderId="1" xfId="0" applyFont="1" applyFill="1" applyBorder="1" applyAlignment="1" applyProtection="1">
      <alignment horizontal="right" vertical="top"/>
      <protection hidden="1"/>
    </xf>
    <xf numFmtId="0" fontId="1" fillId="0" borderId="0" xfId="0" applyFont="1" applyAlignment="1"/>
    <xf numFmtId="0" fontId="1" fillId="6" borderId="0" xfId="0" applyFont="1" applyFill="1" applyAlignment="1" applyProtection="1">
      <alignment horizontal="left" vertical="top" wrapText="1"/>
      <protection hidden="1"/>
    </xf>
    <xf numFmtId="164" fontId="48" fillId="13" borderId="5" xfId="0" applyNumberFormat="1" applyFont="1" applyFill="1" applyBorder="1" applyAlignment="1" applyProtection="1">
      <alignment vertical="center"/>
      <protection locked="0" hidden="1"/>
    </xf>
    <xf numFmtId="164" fontId="48" fillId="13" borderId="6" xfId="0" applyNumberFormat="1" applyFont="1" applyFill="1" applyBorder="1" applyAlignment="1" applyProtection="1">
      <alignment vertical="center"/>
      <protection locked="0" hidden="1"/>
    </xf>
    <xf numFmtId="9" fontId="2" fillId="0" borderId="0" xfId="0" quotePrefix="1" applyNumberFormat="1" applyFont="1" applyAlignment="1"/>
    <xf numFmtId="0" fontId="28" fillId="3" borderId="0" xfId="13" applyFont="1" applyFill="1" applyAlignment="1" applyProtection="1">
      <alignment horizontal="center"/>
      <protection hidden="1"/>
    </xf>
    <xf numFmtId="0" fontId="30" fillId="3" borderId="0" xfId="13" applyFont="1" applyFill="1" applyAlignment="1" applyProtection="1">
      <alignment horizontal="center"/>
      <protection hidden="1"/>
    </xf>
    <xf numFmtId="0" fontId="31" fillId="3" borderId="0" xfId="13" applyFont="1" applyFill="1" applyAlignment="1" applyProtection="1">
      <alignment horizontal="center"/>
      <protection hidden="1"/>
    </xf>
    <xf numFmtId="0" fontId="59" fillId="3" borderId="0" xfId="6" applyFont="1" applyFill="1" applyAlignment="1" applyProtection="1">
      <alignment horizontal="left"/>
      <protection hidden="1"/>
    </xf>
    <xf numFmtId="0" fontId="2" fillId="3" borderId="0" xfId="13" applyFill="1" applyAlignment="1" applyProtection="1">
      <alignment horizontal="center"/>
      <protection hidden="1"/>
    </xf>
    <xf numFmtId="0" fontId="27" fillId="3" borderId="0" xfId="13" applyFont="1" applyFill="1" applyAlignment="1" applyProtection="1">
      <alignment horizontal="center"/>
      <protection hidden="1"/>
    </xf>
    <xf numFmtId="0" fontId="58" fillId="3" borderId="0" xfId="13" applyFont="1" applyFill="1" applyAlignment="1" applyProtection="1">
      <alignment horizontal="center"/>
      <protection hidden="1"/>
    </xf>
    <xf numFmtId="0" fontId="28" fillId="3" borderId="0" xfId="13" applyFont="1" applyFill="1" applyAlignment="1" applyProtection="1">
      <alignment horizontal="center" vertical="center"/>
      <protection hidden="1"/>
    </xf>
    <xf numFmtId="0" fontId="25" fillId="3" borderId="0" xfId="13" applyFont="1" applyFill="1" applyAlignment="1" applyProtection="1">
      <alignment horizontal="center" vertical="center" wrapText="1"/>
      <protection hidden="1"/>
    </xf>
    <xf numFmtId="0" fontId="46" fillId="3" borderId="0" xfId="6" applyFill="1" applyAlignment="1" applyProtection="1">
      <alignment horizontal="center"/>
      <protection hidden="1"/>
    </xf>
    <xf numFmtId="0" fontId="29" fillId="3" borderId="0" xfId="13" applyFont="1" applyFill="1" applyAlignment="1" applyProtection="1">
      <alignment horizontal="center"/>
      <protection hidden="1"/>
    </xf>
    <xf numFmtId="0" fontId="25" fillId="3" borderId="0" xfId="13" applyFont="1" applyFill="1" applyAlignment="1" applyProtection="1">
      <alignment horizontal="center"/>
      <protection hidden="1"/>
    </xf>
    <xf numFmtId="0" fontId="25" fillId="3" borderId="0" xfId="13" applyFont="1" applyFill="1" applyAlignment="1" applyProtection="1">
      <alignment horizontal="center" wrapText="1"/>
      <protection hidden="1"/>
    </xf>
    <xf numFmtId="14" fontId="1" fillId="3" borderId="0" xfId="13" applyNumberFormat="1" applyFont="1" applyFill="1" applyAlignment="1" applyProtection="1">
      <alignment horizontal="center" vertical="center"/>
      <protection hidden="1"/>
    </xf>
    <xf numFmtId="0" fontId="1" fillId="3" borderId="0" xfId="13" applyFont="1" applyFill="1" applyAlignment="1" applyProtection="1">
      <alignment horizontal="center" vertical="center"/>
      <protection hidden="1"/>
    </xf>
    <xf numFmtId="168" fontId="15" fillId="0" borderId="3" xfId="0" applyNumberFormat="1" applyFont="1" applyBorder="1" applyAlignment="1" applyProtection="1">
      <alignment horizontal="center" vertical="center" wrapText="1"/>
      <protection hidden="1"/>
    </xf>
    <xf numFmtId="0" fontId="15" fillId="7" borderId="3" xfId="0" applyFont="1" applyFill="1" applyBorder="1" applyAlignment="1" applyProtection="1">
      <alignment horizontal="center" vertical="top" wrapText="1"/>
      <protection hidden="1"/>
    </xf>
    <xf numFmtId="0" fontId="15" fillId="0" borderId="3" xfId="0" applyFont="1" applyBorder="1" applyAlignment="1" applyProtection="1">
      <alignment horizontal="left" vertical="center" wrapText="1"/>
      <protection hidden="1"/>
    </xf>
    <xf numFmtId="0" fontId="6" fillId="6" borderId="3" xfId="0" applyFont="1" applyFill="1" applyBorder="1" applyAlignment="1" applyProtection="1">
      <alignment horizontal="center" vertical="center"/>
      <protection hidden="1"/>
    </xf>
    <xf numFmtId="0" fontId="6" fillId="6" borderId="10" xfId="0" applyFont="1" applyFill="1" applyBorder="1" applyAlignment="1" applyProtection="1">
      <alignment horizontal="center" vertical="center"/>
      <protection hidden="1"/>
    </xf>
    <xf numFmtId="2" fontId="48" fillId="12" borderId="4" xfId="0" applyNumberFormat="1" applyFont="1" applyFill="1" applyBorder="1" applyAlignment="1" applyProtection="1">
      <alignment horizontal="left" vertical="center"/>
      <protection locked="0" hidden="1"/>
    </xf>
    <xf numFmtId="0" fontId="70" fillId="0" borderId="4" xfId="0" applyFont="1" applyBorder="1" applyAlignment="1" applyProtection="1">
      <alignment horizontal="center" vertical="center" wrapText="1"/>
      <protection hidden="1"/>
    </xf>
    <xf numFmtId="0" fontId="70" fillId="0" borderId="3" xfId="0" applyFont="1" applyBorder="1" applyAlignment="1" applyProtection="1">
      <alignment horizontal="center" vertical="center" wrapText="1"/>
      <protection hidden="1"/>
    </xf>
    <xf numFmtId="168" fontId="15" fillId="6" borderId="0" xfId="0" applyNumberFormat="1" applyFont="1" applyFill="1" applyAlignment="1" applyProtection="1">
      <alignment horizontal="left" vertical="center"/>
      <protection hidden="1"/>
    </xf>
    <xf numFmtId="0" fontId="15" fillId="7" borderId="18" xfId="0" applyFont="1" applyFill="1" applyBorder="1" applyAlignment="1" applyProtection="1">
      <alignment horizontal="center" vertical="top" wrapText="1"/>
      <protection hidden="1"/>
    </xf>
    <xf numFmtId="0" fontId="15" fillId="7" borderId="19" xfId="0" applyFont="1" applyFill="1" applyBorder="1" applyAlignment="1" applyProtection="1">
      <alignment horizontal="center" vertical="top" wrapText="1"/>
      <protection hidden="1"/>
    </xf>
    <xf numFmtId="0" fontId="15" fillId="7" borderId="4" xfId="0" applyFont="1" applyFill="1" applyBorder="1" applyAlignment="1" applyProtection="1">
      <alignment horizontal="center" vertical="top" wrapText="1"/>
      <protection hidden="1"/>
    </xf>
    <xf numFmtId="8" fontId="15" fillId="7" borderId="3" xfId="0" applyNumberFormat="1" applyFont="1" applyFill="1" applyBorder="1" applyAlignment="1" applyProtection="1">
      <alignment horizontal="center" vertical="center" wrapText="1"/>
      <protection hidden="1"/>
    </xf>
    <xf numFmtId="0" fontId="43" fillId="9" borderId="4" xfId="0" applyFont="1" applyFill="1" applyBorder="1" applyAlignment="1" applyProtection="1">
      <alignment horizontal="left" vertical="top"/>
      <protection hidden="1"/>
    </xf>
    <xf numFmtId="8" fontId="15" fillId="7" borderId="28" xfId="0" applyNumberFormat="1" applyFont="1" applyFill="1" applyBorder="1" applyAlignment="1" applyProtection="1">
      <alignment horizontal="center" vertical="center" wrapText="1"/>
      <protection hidden="1"/>
    </xf>
    <xf numFmtId="8" fontId="15" fillId="7" borderId="29" xfId="0" applyNumberFormat="1" applyFont="1" applyFill="1" applyBorder="1" applyAlignment="1" applyProtection="1">
      <alignment horizontal="center" vertical="center" wrapText="1"/>
      <protection hidden="1"/>
    </xf>
    <xf numFmtId="0" fontId="11" fillId="6" borderId="4" xfId="0" applyFont="1" applyFill="1" applyBorder="1" applyAlignment="1" applyProtection="1">
      <alignment horizontal="center" vertical="center"/>
      <protection hidden="1"/>
    </xf>
    <xf numFmtId="0" fontId="15" fillId="7" borderId="34" xfId="0" applyFont="1" applyFill="1" applyBorder="1" applyAlignment="1" applyProtection="1">
      <alignment horizontal="center" vertical="top" wrapText="1"/>
      <protection hidden="1"/>
    </xf>
    <xf numFmtId="0" fontId="15" fillId="7" borderId="16" xfId="0" applyFont="1" applyFill="1" applyBorder="1" applyAlignment="1" applyProtection="1">
      <alignment horizontal="center" vertical="top" wrapText="1"/>
      <protection hidden="1"/>
    </xf>
    <xf numFmtId="0" fontId="15" fillId="7" borderId="30" xfId="0" applyFont="1" applyFill="1" applyBorder="1" applyAlignment="1" applyProtection="1">
      <alignment horizontal="center" vertical="top" wrapText="1"/>
      <protection hidden="1"/>
    </xf>
    <xf numFmtId="0" fontId="15" fillId="7" borderId="36" xfId="0" applyFont="1" applyFill="1" applyBorder="1" applyAlignment="1" applyProtection="1">
      <alignment horizontal="center" vertical="top" wrapText="1"/>
      <protection hidden="1"/>
    </xf>
    <xf numFmtId="0" fontId="15" fillId="7" borderId="37" xfId="0" applyFont="1" applyFill="1" applyBorder="1" applyAlignment="1" applyProtection="1">
      <alignment horizontal="center" vertical="top" wrapText="1"/>
      <protection hidden="1"/>
    </xf>
    <xf numFmtId="8" fontId="15" fillId="7" borderId="16" xfId="0" applyNumberFormat="1" applyFont="1" applyFill="1" applyBorder="1" applyAlignment="1" applyProtection="1">
      <alignment horizontal="center" vertical="center" wrapText="1"/>
      <protection hidden="1"/>
    </xf>
    <xf numFmtId="8" fontId="15" fillId="7" borderId="35" xfId="0" applyNumberFormat="1" applyFont="1" applyFill="1" applyBorder="1" applyAlignment="1" applyProtection="1">
      <alignment horizontal="center" vertical="center" wrapText="1"/>
      <protection hidden="1"/>
    </xf>
    <xf numFmtId="8" fontId="15" fillId="7" borderId="4" xfId="0" applyNumberFormat="1" applyFont="1" applyFill="1" applyBorder="1" applyAlignment="1" applyProtection="1">
      <alignment horizontal="center" vertical="center" wrapText="1"/>
      <protection hidden="1"/>
    </xf>
    <xf numFmtId="8" fontId="15" fillId="7" borderId="31" xfId="0" applyNumberFormat="1" applyFont="1" applyFill="1" applyBorder="1" applyAlignment="1" applyProtection="1">
      <alignment horizontal="center" vertical="center" wrapText="1"/>
      <protection hidden="1"/>
    </xf>
    <xf numFmtId="8" fontId="15" fillId="7" borderId="37" xfId="0" applyNumberFormat="1" applyFont="1" applyFill="1" applyBorder="1" applyAlignment="1" applyProtection="1">
      <alignment horizontal="center" vertical="center" wrapText="1"/>
      <protection hidden="1"/>
    </xf>
    <xf numFmtId="8" fontId="15" fillId="7" borderId="38" xfId="0" applyNumberFormat="1"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10" xfId="0" applyFont="1" applyFill="1" applyBorder="1" applyAlignment="1" applyProtection="1">
      <alignment horizontal="center" vertical="center" wrapText="1"/>
      <protection hidden="1"/>
    </xf>
    <xf numFmtId="8" fontId="15" fillId="7" borderId="14" xfId="0" applyNumberFormat="1" applyFont="1" applyFill="1" applyBorder="1" applyAlignment="1" applyProtection="1">
      <alignment horizontal="center" vertical="center" wrapText="1"/>
      <protection hidden="1"/>
    </xf>
    <xf numFmtId="0" fontId="15" fillId="7" borderId="14" xfId="0" applyFont="1" applyFill="1" applyBorder="1" applyAlignment="1" applyProtection="1">
      <alignment horizontal="center" vertical="top" wrapText="1"/>
      <protection hidden="1"/>
    </xf>
    <xf numFmtId="0" fontId="15" fillId="7" borderId="7" xfId="0" applyFont="1" applyFill="1" applyBorder="1" applyAlignment="1" applyProtection="1">
      <alignment horizontal="center" vertical="top" wrapText="1"/>
      <protection hidden="1"/>
    </xf>
    <xf numFmtId="8" fontId="15" fillId="7" borderId="7" xfId="0" applyNumberFormat="1" applyFont="1" applyFill="1" applyBorder="1" applyAlignment="1" applyProtection="1">
      <alignment horizontal="center" vertical="center" wrapText="1"/>
      <protection hidden="1"/>
    </xf>
    <xf numFmtId="168" fontId="70" fillId="0" borderId="4" xfId="0" applyNumberFormat="1" applyFont="1" applyBorder="1" applyAlignment="1" applyProtection="1">
      <alignment horizontal="center" vertical="center" wrapText="1"/>
      <protection hidden="1"/>
    </xf>
    <xf numFmtId="168" fontId="70" fillId="0" borderId="3" xfId="0" applyNumberFormat="1" applyFont="1" applyBorder="1" applyAlignment="1" applyProtection="1">
      <alignment horizontal="center" vertical="center" wrapText="1"/>
      <protection hidden="1"/>
    </xf>
    <xf numFmtId="0" fontId="15" fillId="7" borderId="27" xfId="0" applyFont="1" applyFill="1" applyBorder="1" applyAlignment="1" applyProtection="1">
      <alignment horizontal="center" vertical="top" wrapText="1"/>
      <protection hidden="1"/>
    </xf>
    <xf numFmtId="0" fontId="15" fillId="7" borderId="28" xfId="0" applyFont="1" applyFill="1" applyBorder="1" applyAlignment="1" applyProtection="1">
      <alignment horizontal="center" vertical="top" wrapText="1"/>
      <protection hidden="1"/>
    </xf>
    <xf numFmtId="0" fontId="15" fillId="7" borderId="32" xfId="0" applyFont="1" applyFill="1" applyBorder="1" applyAlignment="1" applyProtection="1">
      <alignment horizontal="center" vertical="top" wrapText="1"/>
      <protection hidden="1"/>
    </xf>
    <xf numFmtId="8" fontId="15" fillId="7" borderId="18" xfId="0" applyNumberFormat="1" applyFont="1" applyFill="1" applyBorder="1" applyAlignment="1" applyProtection="1">
      <alignment horizontal="center" vertical="center" wrapText="1"/>
      <protection hidden="1"/>
    </xf>
    <xf numFmtId="8" fontId="15" fillId="7" borderId="19" xfId="0" applyNumberFormat="1" applyFont="1" applyFill="1" applyBorder="1" applyAlignment="1" applyProtection="1">
      <alignment horizontal="center" vertical="center" wrapText="1"/>
      <protection hidden="1"/>
    </xf>
    <xf numFmtId="8" fontId="54" fillId="6" borderId="4" xfId="0" quotePrefix="1" applyNumberFormat="1" applyFont="1" applyFill="1" applyBorder="1" applyAlignment="1" applyProtection="1">
      <alignment horizontal="center" vertical="center"/>
      <protection hidden="1"/>
    </xf>
    <xf numFmtId="167" fontId="48" fillId="13" borderId="4" xfId="0" applyNumberFormat="1" applyFont="1" applyFill="1" applyBorder="1" applyAlignment="1" applyProtection="1">
      <alignment horizontal="center" vertical="center"/>
      <protection locked="0" hidden="1"/>
    </xf>
    <xf numFmtId="1" fontId="48" fillId="6" borderId="4" xfId="0" quotePrefix="1" applyNumberFormat="1" applyFont="1" applyFill="1" applyBorder="1" applyAlignment="1" applyProtection="1">
      <alignment horizontal="center" vertical="center"/>
      <protection hidden="1"/>
    </xf>
    <xf numFmtId="1" fontId="48" fillId="13" borderId="4" xfId="0" applyNumberFormat="1" applyFont="1" applyFill="1" applyBorder="1" applyAlignment="1" applyProtection="1">
      <alignment horizontal="center" vertical="center"/>
      <protection locked="0" hidden="1"/>
    </xf>
    <xf numFmtId="0" fontId="16" fillId="7" borderId="41" xfId="0" applyFont="1" applyFill="1" applyBorder="1" applyAlignment="1" applyProtection="1">
      <alignment horizontal="center" vertical="center" wrapText="1"/>
      <protection hidden="1"/>
    </xf>
    <xf numFmtId="0" fontId="16" fillId="7" borderId="25" xfId="0" applyFont="1" applyFill="1" applyBorder="1" applyAlignment="1" applyProtection="1">
      <alignment horizontal="center" vertical="center" wrapText="1"/>
      <protection hidden="1"/>
    </xf>
    <xf numFmtId="2" fontId="2" fillId="0" borderId="3" xfId="0" applyNumberFormat="1" applyFont="1" applyBorder="1" applyAlignment="1" applyProtection="1">
      <alignment horizontal="center" vertical="center"/>
      <protection locked="0" hidden="1"/>
    </xf>
    <xf numFmtId="0" fontId="38" fillId="12" borderId="23" xfId="0" applyFont="1" applyFill="1" applyBorder="1" applyAlignment="1" applyProtection="1">
      <alignment horizontal="center" vertical="center" wrapText="1"/>
      <protection hidden="1"/>
    </xf>
    <xf numFmtId="0" fontId="38" fillId="14" borderId="23" xfId="0" applyFont="1" applyFill="1" applyBorder="1" applyAlignment="1" applyProtection="1">
      <alignment horizontal="center" vertical="center" wrapText="1"/>
      <protection hidden="1"/>
    </xf>
    <xf numFmtId="0" fontId="2" fillId="14" borderId="4" xfId="0" applyFont="1" applyFill="1" applyBorder="1" applyAlignment="1" applyProtection="1">
      <alignment horizontal="center" vertical="center" wrapText="1"/>
      <protection locked="0" hidden="1"/>
    </xf>
    <xf numFmtId="0" fontId="2" fillId="14" borderId="6" xfId="0" applyFont="1" applyFill="1" applyBorder="1" applyAlignment="1" applyProtection="1">
      <alignment horizontal="center" vertical="center" wrapText="1"/>
      <protection locked="0" hidden="1"/>
    </xf>
    <xf numFmtId="2" fontId="48" fillId="12" borderId="6" xfId="0" applyNumberFormat="1" applyFont="1" applyFill="1" applyBorder="1" applyAlignment="1" applyProtection="1">
      <alignment horizontal="left" vertical="center"/>
      <protection locked="0" hidden="1"/>
    </xf>
    <xf numFmtId="0" fontId="12" fillId="12" borderId="4" xfId="0" applyFont="1" applyFill="1" applyBorder="1" applyAlignment="1" applyProtection="1">
      <alignment horizontal="left" vertical="center"/>
      <protection locked="0" hidden="1"/>
    </xf>
    <xf numFmtId="2" fontId="48" fillId="12" borderId="3" xfId="0" applyNumberFormat="1" applyFont="1" applyFill="1" applyBorder="1" applyAlignment="1" applyProtection="1">
      <alignment horizontal="left" vertical="center"/>
      <protection locked="0" hidden="1"/>
    </xf>
    <xf numFmtId="0" fontId="12" fillId="12" borderId="5" xfId="0" applyFont="1" applyFill="1" applyBorder="1" applyAlignment="1" applyProtection="1">
      <alignment horizontal="left" vertical="center"/>
      <protection locked="0" hidden="1"/>
    </xf>
    <xf numFmtId="0" fontId="12" fillId="12" borderId="6" xfId="0" applyFont="1" applyFill="1" applyBorder="1" applyAlignment="1" applyProtection="1">
      <alignment horizontal="left" vertical="center"/>
      <protection locked="0" hidden="1"/>
    </xf>
    <xf numFmtId="2" fontId="48" fillId="12" borderId="5" xfId="0" applyNumberFormat="1" applyFont="1" applyFill="1" applyBorder="1" applyAlignment="1" applyProtection="1">
      <alignment horizontal="left" vertical="center"/>
      <protection locked="0" hidden="1"/>
    </xf>
    <xf numFmtId="0" fontId="6" fillId="15" borderId="11" xfId="0" applyFont="1" applyFill="1" applyBorder="1" applyAlignment="1" applyProtection="1">
      <alignment horizontal="left" vertical="top"/>
      <protection hidden="1"/>
    </xf>
    <xf numFmtId="0" fontId="2" fillId="14" borderId="3" xfId="0" applyFont="1" applyFill="1" applyBorder="1" applyAlignment="1" applyProtection="1">
      <alignment horizontal="center" vertical="center" wrapText="1"/>
      <protection locked="0" hidden="1"/>
    </xf>
    <xf numFmtId="0" fontId="16" fillId="7" borderId="16" xfId="0" applyFont="1" applyFill="1" applyBorder="1" applyAlignment="1" applyProtection="1">
      <alignment horizontal="center" vertical="center" wrapText="1"/>
      <protection hidden="1"/>
    </xf>
    <xf numFmtId="14" fontId="4" fillId="6" borderId="2" xfId="0" applyNumberFormat="1" applyFont="1" applyFill="1" applyBorder="1" applyAlignment="1" applyProtection="1">
      <alignment horizontal="right" vertical="center"/>
      <protection hidden="1"/>
    </xf>
    <xf numFmtId="0" fontId="2" fillId="6" borderId="21" xfId="0" applyFont="1" applyFill="1" applyBorder="1" applyAlignment="1" applyProtection="1">
      <alignment horizontal="center" vertical="top" wrapText="1"/>
      <protection hidden="1"/>
    </xf>
    <xf numFmtId="0" fontId="2" fillId="7" borderId="24" xfId="0" applyFont="1" applyFill="1" applyBorder="1" applyAlignment="1" applyProtection="1">
      <alignment horizontal="center" vertical="top" wrapText="1"/>
      <protection hidden="1"/>
    </xf>
    <xf numFmtId="0" fontId="60" fillId="16" borderId="24" xfId="0" applyFont="1" applyFill="1" applyBorder="1" applyAlignment="1" applyProtection="1">
      <alignment horizontal="left" vertical="top"/>
      <protection hidden="1"/>
    </xf>
    <xf numFmtId="0" fontId="4" fillId="6" borderId="2" xfId="0" applyFont="1" applyFill="1" applyBorder="1" applyAlignment="1" applyProtection="1">
      <alignment horizontal="left" vertical="center"/>
      <protection hidden="1"/>
    </xf>
    <xf numFmtId="0" fontId="1" fillId="6" borderId="25"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49" fontId="2" fillId="12" borderId="22" xfId="0" applyNumberFormat="1" applyFont="1" applyFill="1" applyBorder="1" applyAlignment="1" applyProtection="1">
      <alignment horizontal="left" vertical="center" wrapText="1"/>
      <protection locked="0"/>
    </xf>
    <xf numFmtId="0" fontId="38" fillId="6" borderId="23"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protection hidden="1"/>
    </xf>
    <xf numFmtId="0" fontId="16" fillId="7" borderId="16" xfId="0" applyFont="1" applyFill="1" applyBorder="1" applyAlignment="1" applyProtection="1">
      <alignment horizontal="center" vertical="center"/>
      <protection hidden="1"/>
    </xf>
    <xf numFmtId="49" fontId="2" fillId="12" borderId="22" xfId="0" applyNumberFormat="1" applyFont="1" applyFill="1" applyBorder="1" applyAlignment="1" applyProtection="1">
      <alignment horizontal="center" vertical="center" wrapText="1"/>
      <protection locked="0"/>
    </xf>
    <xf numFmtId="8" fontId="15" fillId="7" borderId="33" xfId="0" applyNumberFormat="1" applyFont="1" applyFill="1" applyBorder="1" applyAlignment="1" applyProtection="1">
      <alignment horizontal="center" vertical="center" wrapText="1"/>
      <protection hidden="1"/>
    </xf>
    <xf numFmtId="0" fontId="15" fillId="0" borderId="0" xfId="0" applyFont="1" applyAlignment="1">
      <alignment horizontal="left" vertical="top" wrapText="1"/>
    </xf>
    <xf numFmtId="1" fontId="48" fillId="13" borderId="6" xfId="0" applyNumberFormat="1" applyFont="1" applyFill="1" applyBorder="1" applyAlignment="1" applyProtection="1">
      <alignment horizontal="center" vertical="center"/>
      <protection locked="0" hidden="1"/>
    </xf>
    <xf numFmtId="167" fontId="48" fillId="13" borderId="6" xfId="0" applyNumberFormat="1" applyFont="1" applyFill="1" applyBorder="1" applyAlignment="1" applyProtection="1">
      <alignment horizontal="center" vertical="center"/>
      <protection locked="0" hidden="1"/>
    </xf>
    <xf numFmtId="0" fontId="2" fillId="6" borderId="0" xfId="0" applyFont="1" applyFill="1" applyAlignment="1" applyProtection="1">
      <alignment horizontal="left" vertical="center"/>
      <protection hidden="1"/>
    </xf>
    <xf numFmtId="0" fontId="2" fillId="6" borderId="11" xfId="0" applyFont="1" applyFill="1" applyBorder="1" applyAlignment="1">
      <alignment horizontal="center" vertical="top" wrapText="1"/>
    </xf>
    <xf numFmtId="0" fontId="6" fillId="15" borderId="11" xfId="0" applyFont="1" applyFill="1" applyBorder="1" applyAlignment="1" applyProtection="1">
      <alignment horizontal="left" vertical="center"/>
      <protection hidden="1"/>
    </xf>
    <xf numFmtId="2" fontId="48" fillId="13" borderId="4" xfId="0" applyNumberFormat="1" applyFont="1" applyFill="1" applyBorder="1" applyAlignment="1" applyProtection="1">
      <alignment horizontal="center" vertical="center"/>
      <protection locked="0" hidden="1"/>
    </xf>
    <xf numFmtId="49" fontId="12" fillId="7" borderId="0" xfId="0" applyNumberFormat="1" applyFont="1" applyFill="1" applyAlignment="1" applyProtection="1">
      <alignment horizontal="right" vertical="center"/>
      <protection locked="0"/>
    </xf>
    <xf numFmtId="14" fontId="12" fillId="7" borderId="5" xfId="0" applyNumberFormat="1" applyFont="1" applyFill="1" applyBorder="1" applyAlignment="1" applyProtection="1">
      <alignment horizontal="center" vertical="center"/>
      <protection locked="0"/>
    </xf>
    <xf numFmtId="0" fontId="12" fillId="12" borderId="4" xfId="0" applyFont="1" applyFill="1" applyBorder="1" applyAlignment="1" applyProtection="1">
      <alignment horizontal="left" vertical="center"/>
      <protection locked="0"/>
    </xf>
    <xf numFmtId="0" fontId="2" fillId="6" borderId="0" xfId="0" applyFont="1" applyFill="1" applyAlignment="1" applyProtection="1">
      <alignment horizontal="left" vertical="center" wrapText="1"/>
      <protection hidden="1"/>
    </xf>
    <xf numFmtId="0" fontId="73" fillId="6" borderId="0" xfId="0" applyFont="1" applyFill="1" applyAlignment="1" applyProtection="1">
      <alignment horizontal="left" vertical="center" wrapText="1"/>
      <protection hidden="1"/>
    </xf>
    <xf numFmtId="8" fontId="54" fillId="6" borderId="4" xfId="0" applyNumberFormat="1" applyFont="1" applyFill="1" applyBorder="1" applyAlignment="1" applyProtection="1">
      <alignment horizontal="center" vertical="center"/>
      <protection hidden="1"/>
    </xf>
    <xf numFmtId="0" fontId="16" fillId="7" borderId="18" xfId="0" applyFont="1" applyFill="1" applyBorder="1" applyAlignment="1" applyProtection="1">
      <alignment horizontal="center" vertical="center" wrapText="1"/>
      <protection hidden="1"/>
    </xf>
    <xf numFmtId="14" fontId="12" fillId="7" borderId="15" xfId="0" applyNumberFormat="1" applyFont="1" applyFill="1" applyBorder="1" applyAlignment="1" applyProtection="1">
      <alignment horizontal="center" vertical="center"/>
      <protection locked="0"/>
    </xf>
    <xf numFmtId="0" fontId="0" fillId="6" borderId="4" xfId="0" applyFill="1" applyBorder="1" applyAlignment="1" applyProtection="1">
      <alignment horizontal="center"/>
      <protection hidden="1"/>
    </xf>
    <xf numFmtId="0" fontId="53" fillId="0" borderId="4"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16" fillId="7" borderId="16" xfId="0" applyFont="1" applyFill="1" applyBorder="1" applyAlignment="1">
      <alignment horizontal="center" vertical="center"/>
    </xf>
    <xf numFmtId="8" fontId="55" fillId="6" borderId="11" xfId="0" applyNumberFormat="1" applyFont="1" applyFill="1" applyBorder="1" applyAlignment="1" applyProtection="1">
      <alignment horizontal="center" vertical="center"/>
      <protection hidden="1"/>
    </xf>
    <xf numFmtId="164" fontId="48" fillId="13" borderId="3" xfId="0" applyNumberFormat="1" applyFont="1" applyFill="1" applyBorder="1" applyAlignment="1" applyProtection="1">
      <alignment horizontal="center" vertical="center"/>
      <protection locked="0" hidden="1"/>
    </xf>
    <xf numFmtId="164" fontId="48" fillId="13" borderId="17" xfId="0" applyNumberFormat="1" applyFont="1" applyFill="1" applyBorder="1" applyAlignment="1" applyProtection="1">
      <alignment horizontal="center" vertical="center"/>
      <protection locked="0" hidden="1"/>
    </xf>
    <xf numFmtId="164" fontId="48" fillId="13" borderId="7" xfId="0" applyNumberFormat="1" applyFont="1" applyFill="1" applyBorder="1" applyAlignment="1" applyProtection="1">
      <alignment horizontal="center" vertical="center"/>
      <protection locked="0" hidden="1"/>
    </xf>
    <xf numFmtId="0" fontId="16" fillId="7" borderId="3" xfId="0" applyFont="1" applyFill="1" applyBorder="1" applyAlignment="1" applyProtection="1">
      <alignment horizontal="center" vertical="center" wrapText="1"/>
      <protection hidden="1"/>
    </xf>
    <xf numFmtId="0" fontId="2" fillId="6" borderId="8" xfId="0" applyFont="1" applyFill="1" applyBorder="1" applyAlignment="1">
      <alignment horizontal="center" vertical="center"/>
    </xf>
    <xf numFmtId="2" fontId="48" fillId="12" borderId="3" xfId="0" applyNumberFormat="1" applyFont="1" applyFill="1" applyBorder="1" applyAlignment="1" applyProtection="1">
      <alignment horizontal="center" vertical="center"/>
      <protection locked="0"/>
    </xf>
    <xf numFmtId="2" fontId="48" fillId="12" borderId="4" xfId="0" applyNumberFormat="1" applyFont="1" applyFill="1" applyBorder="1" applyAlignment="1" applyProtection="1">
      <alignment horizontal="center" vertical="center"/>
      <protection locked="0"/>
    </xf>
    <xf numFmtId="1" fontId="48" fillId="12" borderId="4" xfId="0" quotePrefix="1" applyNumberFormat="1" applyFont="1" applyFill="1" applyBorder="1" applyAlignment="1" applyProtection="1">
      <alignment horizontal="center" vertical="center"/>
      <protection locked="0" hidden="1"/>
    </xf>
    <xf numFmtId="2" fontId="48" fillId="12" borderId="4" xfId="0" applyNumberFormat="1" applyFont="1" applyFill="1" applyBorder="1" applyAlignment="1" applyProtection="1">
      <alignment horizontal="center" vertical="center"/>
      <protection locked="0" hidden="1"/>
    </xf>
    <xf numFmtId="2" fontId="48" fillId="12" borderId="5" xfId="0" applyNumberFormat="1" applyFont="1" applyFill="1" applyBorder="1" applyAlignment="1" applyProtection="1">
      <alignment horizontal="center" vertical="center"/>
      <protection locked="0" hidden="1"/>
    </xf>
    <xf numFmtId="2" fontId="48" fillId="12" borderId="6" xfId="0" applyNumberFormat="1" applyFont="1" applyFill="1" applyBorder="1" applyAlignment="1" applyProtection="1">
      <alignment horizontal="center" vertical="center"/>
      <protection locked="0" hidden="1"/>
    </xf>
    <xf numFmtId="0" fontId="16" fillId="7" borderId="18" xfId="0" applyFont="1" applyFill="1" applyBorder="1" applyAlignment="1" applyProtection="1">
      <alignment horizontal="center" vertical="center"/>
      <protection hidden="1"/>
    </xf>
    <xf numFmtId="0" fontId="2" fillId="6" borderId="4" xfId="0" applyFont="1" applyFill="1" applyBorder="1" applyAlignment="1" applyProtection="1">
      <alignment horizontal="center"/>
      <protection hidden="1"/>
    </xf>
    <xf numFmtId="164" fontId="48" fillId="13" borderId="4" xfId="0" applyNumberFormat="1" applyFont="1" applyFill="1" applyBorder="1" applyAlignment="1" applyProtection="1">
      <alignment horizontal="center" vertical="center"/>
      <protection locked="0" hidden="1"/>
    </xf>
    <xf numFmtId="0" fontId="72" fillId="6" borderId="0" xfId="0" applyFont="1" applyFill="1" applyAlignment="1" applyProtection="1">
      <alignment horizontal="left" vertical="center" wrapText="1"/>
      <protection hidden="1"/>
    </xf>
    <xf numFmtId="0" fontId="1" fillId="6" borderId="0" xfId="0" applyFont="1" applyFill="1" applyAlignment="1" applyProtection="1">
      <alignment horizontal="left" vertical="center" wrapText="1"/>
      <protection hidden="1"/>
    </xf>
    <xf numFmtId="6" fontId="54" fillId="6" borderId="3" xfId="0" applyNumberFormat="1" applyFont="1" applyFill="1" applyBorder="1" applyAlignment="1" applyProtection="1">
      <alignment horizontal="center" vertical="center"/>
      <protection hidden="1"/>
    </xf>
    <xf numFmtId="0" fontId="16" fillId="7" borderId="40" xfId="0" applyFont="1" applyFill="1" applyBorder="1" applyAlignment="1" applyProtection="1">
      <alignment horizontal="center" vertical="center"/>
      <protection hidden="1"/>
    </xf>
    <xf numFmtId="0" fontId="16" fillId="7" borderId="39" xfId="0" applyFont="1" applyFill="1" applyBorder="1" applyAlignment="1" applyProtection="1">
      <alignment horizontal="center" vertical="center"/>
      <protection hidden="1"/>
    </xf>
    <xf numFmtId="0" fontId="2" fillId="6" borderId="21" xfId="0" applyFont="1" applyFill="1" applyBorder="1" applyAlignment="1" applyProtection="1">
      <alignment horizontal="left" vertical="top"/>
      <protection hidden="1"/>
    </xf>
    <xf numFmtId="0" fontId="72" fillId="6" borderId="0" xfId="0" applyFont="1" applyFill="1" applyAlignment="1">
      <alignment horizontal="left" vertical="center" wrapText="1"/>
    </xf>
    <xf numFmtId="0" fontId="10" fillId="6" borderId="0" xfId="0" applyFont="1" applyFill="1" applyAlignment="1">
      <alignment horizontal="left" vertical="center" wrapText="1"/>
    </xf>
    <xf numFmtId="8" fontId="55" fillId="6" borderId="0" xfId="0" applyNumberFormat="1" applyFont="1" applyFill="1" applyAlignment="1" applyProtection="1">
      <alignment horizontal="center" vertical="center"/>
      <protection hidden="1"/>
    </xf>
    <xf numFmtId="1" fontId="43" fillId="9" borderId="11" xfId="0" applyNumberFormat="1" applyFont="1" applyFill="1" applyBorder="1" applyAlignment="1" applyProtection="1">
      <alignment horizontal="left" vertical="center"/>
      <protection hidden="1"/>
    </xf>
    <xf numFmtId="6" fontId="54" fillId="6" borderId="3" xfId="0" quotePrefix="1" applyNumberFormat="1" applyFont="1" applyFill="1" applyBorder="1" applyAlignment="1" applyProtection="1">
      <alignment horizontal="center" vertical="center"/>
      <protection hidden="1"/>
    </xf>
    <xf numFmtId="0" fontId="2" fillId="6" borderId="0" xfId="0" applyFont="1" applyFill="1" applyAlignment="1" applyProtection="1">
      <alignment horizontal="left" vertical="top" wrapText="1"/>
      <protection hidden="1"/>
    </xf>
    <xf numFmtId="0" fontId="9" fillId="7" borderId="3"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wrapText="1"/>
      <protection hidden="1"/>
    </xf>
    <xf numFmtId="166" fontId="23" fillId="12" borderId="3" xfId="0" applyNumberFormat="1" applyFont="1" applyFill="1" applyBorder="1" applyAlignment="1" applyProtection="1">
      <alignment horizontal="center" vertical="center"/>
      <protection locked="0"/>
    </xf>
    <xf numFmtId="1" fontId="2" fillId="6" borderId="0" xfId="0" applyNumberFormat="1" applyFont="1" applyFill="1" applyAlignment="1" applyProtection="1">
      <alignment horizontal="left" vertical="top" wrapText="1"/>
      <protection hidden="1"/>
    </xf>
    <xf numFmtId="1" fontId="11" fillId="9" borderId="11" xfId="0" applyNumberFormat="1" applyFont="1" applyFill="1" applyBorder="1" applyAlignment="1" applyProtection="1">
      <alignment horizontal="left" vertical="center"/>
      <protection hidden="1"/>
    </xf>
    <xf numFmtId="1" fontId="2" fillId="6" borderId="0" xfId="0" applyNumberFormat="1" applyFont="1" applyFill="1" applyAlignment="1" applyProtection="1">
      <alignment horizontal="left" vertical="center" wrapText="1"/>
      <protection hidden="1"/>
    </xf>
    <xf numFmtId="0" fontId="69" fillId="6" borderId="0" xfId="0" applyFont="1" applyFill="1" applyAlignment="1">
      <alignment horizontal="left" vertical="center" wrapText="1"/>
    </xf>
    <xf numFmtId="0" fontId="2" fillId="6" borderId="8" xfId="0" applyFont="1" applyFill="1" applyBorder="1" applyAlignment="1" applyProtection="1">
      <alignment horizontal="center" vertical="center"/>
      <protection hidden="1"/>
    </xf>
    <xf numFmtId="0" fontId="2" fillId="13" borderId="4" xfId="0" applyFont="1" applyFill="1" applyBorder="1" applyAlignment="1" applyProtection="1">
      <alignment horizontal="center" vertical="center"/>
      <protection locked="0" hidden="1"/>
    </xf>
    <xf numFmtId="0" fontId="2" fillId="13" borderId="6" xfId="0" applyFont="1" applyFill="1" applyBorder="1" applyAlignment="1" applyProtection="1">
      <alignment horizontal="center" vertical="center"/>
      <protection locked="0" hidden="1"/>
    </xf>
    <xf numFmtId="0" fontId="4" fillId="6" borderId="11" xfId="0" applyFont="1" applyFill="1" applyBorder="1" applyAlignment="1" applyProtection="1">
      <alignment horizontal="center" vertical="center"/>
      <protection hidden="1"/>
    </xf>
    <xf numFmtId="0" fontId="16" fillId="7" borderId="20"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hidden="1"/>
    </xf>
    <xf numFmtId="0" fontId="1" fillId="6" borderId="0" xfId="0" applyFont="1" applyFill="1" applyAlignment="1" applyProtection="1">
      <alignment horizontal="left" vertical="top" wrapText="1"/>
      <protection hidden="1"/>
    </xf>
    <xf numFmtId="0" fontId="2" fillId="6" borderId="11" xfId="0" applyFont="1" applyFill="1" applyBorder="1" applyAlignment="1" applyProtection="1">
      <alignment horizontal="center" vertical="top" wrapText="1"/>
      <protection hidden="1"/>
    </xf>
    <xf numFmtId="1" fontId="73" fillId="6" borderId="0" xfId="0" applyNumberFormat="1" applyFont="1" applyFill="1" applyAlignment="1" applyProtection="1">
      <alignment horizontal="left" vertical="center" wrapText="1"/>
      <protection hidden="1"/>
    </xf>
  </cellXfs>
  <cellStyles count="28">
    <cellStyle name="Comma" xfId="27" builtinId="3"/>
    <cellStyle name="Comma 2" xfId="1" xr:uid="{00000000-0005-0000-0000-000000000000}"/>
    <cellStyle name="Comma 3" xfId="2" xr:uid="{00000000-0005-0000-0000-000001000000}"/>
    <cellStyle name="Currency" xfId="3" builtinId="4"/>
    <cellStyle name="Currency 2" xfId="4" xr:uid="{00000000-0005-0000-0000-000003000000}"/>
    <cellStyle name="Currency 3" xfId="5" xr:uid="{00000000-0005-0000-0000-000004000000}"/>
    <cellStyle name="Hyperlink" xfId="6" builtinId="8"/>
    <cellStyle name="Normal" xfId="0" builtinId="0"/>
    <cellStyle name="Normal 10" xfId="7" xr:uid="{00000000-0005-0000-0000-000007000000}"/>
    <cellStyle name="Normal 10 2" xfId="8" xr:uid="{00000000-0005-0000-0000-000008000000}"/>
    <cellStyle name="Normal 11" xfId="9" xr:uid="{00000000-0005-0000-0000-000009000000}"/>
    <cellStyle name="Normal 11 2" xfId="10" xr:uid="{00000000-0005-0000-0000-00000A000000}"/>
    <cellStyle name="Normal 12" xfId="11" xr:uid="{00000000-0005-0000-0000-00000B000000}"/>
    <cellStyle name="Normal 16 2" xfId="12" xr:uid="{00000000-0005-0000-0000-00000C000000}"/>
    <cellStyle name="Normal 2" xfId="13" xr:uid="{00000000-0005-0000-0000-00000D000000}"/>
    <cellStyle name="Normal 2 10" xfId="14" xr:uid="{00000000-0005-0000-0000-00000E000000}"/>
    <cellStyle name="Normal 2 10 10" xfId="15" xr:uid="{00000000-0005-0000-0000-00000F000000}"/>
    <cellStyle name="Normal 2 2" xfId="16" xr:uid="{00000000-0005-0000-0000-000010000000}"/>
    <cellStyle name="Normal 2 2 2" xfId="17" xr:uid="{00000000-0005-0000-0000-000011000000}"/>
    <cellStyle name="Normal 24" xfId="18" xr:uid="{00000000-0005-0000-0000-000012000000}"/>
    <cellStyle name="Normal 3" xfId="19" xr:uid="{00000000-0005-0000-0000-000013000000}"/>
    <cellStyle name="Normal 3 141" xfId="20" xr:uid="{00000000-0005-0000-0000-000014000000}"/>
    <cellStyle name="Normal 4" xfId="21" xr:uid="{00000000-0005-0000-0000-000015000000}"/>
    <cellStyle name="Normal 5" xfId="22" xr:uid="{00000000-0005-0000-0000-000016000000}"/>
    <cellStyle name="Normal 6" xfId="23" xr:uid="{00000000-0005-0000-0000-000017000000}"/>
    <cellStyle name="Percent 2" xfId="24" xr:uid="{00000000-0005-0000-0000-000018000000}"/>
    <cellStyle name="Percent 4" xfId="25" xr:uid="{00000000-0005-0000-0000-000019000000}"/>
    <cellStyle name="Percent 4 2" xfId="26" xr:uid="{00000000-0005-0000-0000-00001A000000}"/>
  </cellStyles>
  <dxfs count="26">
    <dxf>
      <font>
        <color rgb="FFFF0000"/>
      </font>
    </dxf>
    <dxf>
      <font>
        <color rgb="FFFF0000"/>
      </font>
    </dxf>
    <dxf>
      <font>
        <strike val="0"/>
        <color rgb="FFFF0000"/>
      </font>
    </dxf>
    <dxf>
      <font>
        <color theme="0"/>
      </font>
      <fill>
        <patternFill patternType="solid">
          <bgColor theme="0" tint="-0.34998626667073579"/>
        </patternFill>
      </fill>
    </dxf>
    <dxf>
      <font>
        <color theme="0"/>
      </font>
      <fill>
        <patternFill patternType="solid">
          <bgColor theme="0" tint="-0.34998626667073579"/>
        </patternFill>
      </fill>
    </dxf>
    <dxf>
      <font>
        <color theme="0"/>
      </font>
      <fill>
        <patternFill patternType="solid">
          <bgColor theme="0" tint="-0.34998626667073579"/>
        </patternFill>
      </fill>
    </dxf>
    <dxf>
      <font>
        <color auto="1"/>
        <name val="Cambria"/>
        <scheme val="none"/>
      </font>
      <fill>
        <patternFill patternType="solid">
          <bgColor theme="1"/>
        </patternFill>
      </fill>
    </dxf>
    <dxf>
      <font>
        <strike val="0"/>
        <color rgb="FFFF0000"/>
      </font>
    </dxf>
    <dxf>
      <font>
        <color rgb="FFFF0000"/>
      </font>
    </dxf>
    <dxf>
      <fill>
        <patternFill>
          <bgColor theme="1"/>
        </patternFill>
      </fill>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rgb="FFFF0000"/>
      </font>
    </dxf>
    <dxf>
      <font>
        <color rgb="FFFF0000"/>
      </font>
    </dxf>
    <dxf>
      <font>
        <color rgb="FFFF0000"/>
      </font>
      <fill>
        <patternFill>
          <bgColor theme="1"/>
        </patternFill>
      </fill>
    </dxf>
    <dxf>
      <font>
        <color auto="1"/>
      </font>
      <fill>
        <patternFill>
          <bgColor theme="1"/>
        </patternFill>
      </fill>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rgb="FFFF0000"/>
      </font>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3175</xdr:colOff>
      <xdr:row>49</xdr:row>
      <xdr:rowOff>165099</xdr:rowOff>
    </xdr:from>
    <xdr:to>
      <xdr:col>13</xdr:col>
      <xdr:colOff>57150</xdr:colOff>
      <xdr:row>51</xdr:row>
      <xdr:rowOff>153105</xdr:rowOff>
    </xdr:to>
    <xdr:sp macro="" textlink="">
      <xdr:nvSpPr>
        <xdr:cNvPr id="2" name="Text Box 5">
          <a:extLst>
            <a:ext uri="{FF2B5EF4-FFF2-40B4-BE49-F238E27FC236}">
              <a16:creationId xmlns:a16="http://schemas.microsoft.com/office/drawing/2014/main" id="{6721F4A4-A2B6-4B84-A4E6-5C1D41354767}"/>
            </a:ext>
          </a:extLst>
        </xdr:cNvPr>
        <xdr:cNvSpPr txBox="1">
          <a:spLocks noChangeArrowheads="1"/>
        </xdr:cNvSpPr>
      </xdr:nvSpPr>
      <xdr:spPr bwMode="auto">
        <a:xfrm>
          <a:off x="485775" y="12877799"/>
          <a:ext cx="7467600" cy="257175"/>
        </a:xfrm>
        <a:prstGeom prst="rect">
          <a:avLst/>
        </a:prstGeom>
        <a:noFill/>
        <a:ln w="9525" algn="ctr">
          <a:noFill/>
          <a:miter lim="800000"/>
          <a:headEnd/>
          <a:tailEnd/>
        </a:ln>
        <a:effectLst/>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a:cs typeface="Arial"/>
            </a:rPr>
            <a:t>Funded by TEP customers and approved by the Arizona Corporation Commission</a:t>
          </a:r>
        </a:p>
      </xdr:txBody>
    </xdr:sp>
    <xdr:clientData/>
  </xdr:twoCellAnchor>
  <xdr:twoCellAnchor editAs="oneCell">
    <xdr:from>
      <xdr:col>0</xdr:col>
      <xdr:colOff>476250</xdr:colOff>
      <xdr:row>1</xdr:row>
      <xdr:rowOff>190500</xdr:rowOff>
    </xdr:from>
    <xdr:to>
      <xdr:col>6</xdr:col>
      <xdr:colOff>205740</xdr:colOff>
      <xdr:row>5</xdr:row>
      <xdr:rowOff>228600</xdr:rowOff>
    </xdr:to>
    <xdr:pic>
      <xdr:nvPicPr>
        <xdr:cNvPr id="67653" name="Picture 1">
          <a:extLst>
            <a:ext uri="{FF2B5EF4-FFF2-40B4-BE49-F238E27FC236}">
              <a16:creationId xmlns:a16="http://schemas.microsoft.com/office/drawing/2014/main" id="{ACEE5FBC-70D8-4DFA-9B34-F99A053E0C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323850"/>
          <a:ext cx="33813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342900</xdr:colOff>
      <xdr:row>0</xdr:row>
      <xdr:rowOff>68580</xdr:rowOff>
    </xdr:from>
    <xdr:to>
      <xdr:col>25</xdr:col>
      <xdr:colOff>262890</xdr:colOff>
      <xdr:row>1</xdr:row>
      <xdr:rowOff>415290</xdr:rowOff>
    </xdr:to>
    <xdr:pic>
      <xdr:nvPicPr>
        <xdr:cNvPr id="68662" name="Picture 1">
          <a:extLst>
            <a:ext uri="{FF2B5EF4-FFF2-40B4-BE49-F238E27FC236}">
              <a16:creationId xmlns:a16="http://schemas.microsoft.com/office/drawing/2014/main" id="{FB24BC4F-CDB6-446F-B66A-FB050CC7D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9825" y="68580"/>
          <a:ext cx="1390650" cy="54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bes@franklinenergy.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Q54"/>
  <sheetViews>
    <sheetView workbookViewId="0">
      <selection activeCell="L10" sqref="L10"/>
    </sheetView>
  </sheetViews>
  <sheetFormatPr defaultColWidth="0" defaultRowHeight="12.5" zeroHeight="1"/>
  <cols>
    <col min="1" max="6" width="9.1796875" style="15" customWidth="1"/>
    <col min="7" max="7" width="9" style="15" customWidth="1"/>
    <col min="8" max="13" width="9.1796875" style="15" customWidth="1"/>
    <col min="14" max="14" width="7.453125" style="15" customWidth="1"/>
    <col min="15" max="15" width="0" style="15" hidden="1" customWidth="1"/>
    <col min="16" max="16" width="2.54296875" style="15" hidden="1" customWidth="1"/>
    <col min="17" max="16384" width="0" style="15" hidden="1"/>
  </cols>
  <sheetData>
    <row r="1" spans="1:17">
      <c r="A1" s="18"/>
      <c r="B1" s="18"/>
      <c r="C1" s="18"/>
      <c r="D1" s="18"/>
      <c r="E1" s="18"/>
      <c r="F1" s="18"/>
      <c r="G1" s="18"/>
      <c r="H1" s="18"/>
      <c r="I1" s="18"/>
      <c r="J1" s="18"/>
      <c r="K1" s="18"/>
      <c r="L1" s="18"/>
      <c r="M1" s="18"/>
      <c r="N1" s="18"/>
    </row>
    <row r="2" spans="1:17">
      <c r="A2" s="18"/>
      <c r="B2" s="18"/>
      <c r="C2" s="18"/>
      <c r="D2" s="18"/>
      <c r="E2" s="18"/>
      <c r="F2" s="18"/>
      <c r="G2" s="18"/>
      <c r="H2" s="18"/>
      <c r="I2" s="18"/>
      <c r="J2" s="18"/>
      <c r="K2" s="18"/>
      <c r="L2" s="18"/>
      <c r="M2" s="18"/>
      <c r="N2" s="18"/>
    </row>
    <row r="3" spans="1:17" ht="30">
      <c r="A3" s="18"/>
      <c r="B3" s="18"/>
      <c r="C3" s="18"/>
      <c r="D3" s="18"/>
      <c r="E3" s="18"/>
      <c r="F3" s="18"/>
      <c r="G3" s="372" t="s">
        <v>0</v>
      </c>
      <c r="H3" s="372"/>
      <c r="I3" s="372"/>
      <c r="J3" s="372"/>
      <c r="K3" s="372"/>
      <c r="L3" s="372"/>
      <c r="M3" s="372"/>
      <c r="N3" s="372"/>
    </row>
    <row r="4" spans="1:17" ht="30">
      <c r="A4" s="18"/>
      <c r="B4" s="18"/>
      <c r="C4" s="18"/>
      <c r="D4" s="18"/>
      <c r="E4" s="18"/>
      <c r="F4" s="18"/>
      <c r="G4" s="373"/>
      <c r="H4" s="372"/>
      <c r="I4" s="372"/>
      <c r="J4" s="372"/>
      <c r="K4" s="372"/>
      <c r="L4" s="372"/>
      <c r="M4" s="372"/>
      <c r="N4" s="372"/>
    </row>
    <row r="5" spans="1:17" ht="30">
      <c r="A5" s="18"/>
      <c r="B5" s="18"/>
      <c r="C5" s="18"/>
      <c r="D5" s="18"/>
      <c r="E5" s="18"/>
      <c r="F5" s="18"/>
      <c r="G5" s="372" t="s">
        <v>597</v>
      </c>
      <c r="H5" s="372"/>
      <c r="I5" s="372"/>
      <c r="J5" s="372"/>
      <c r="K5" s="372"/>
      <c r="L5" s="372"/>
      <c r="M5" s="372"/>
      <c r="N5" s="372"/>
    </row>
    <row r="6" spans="1:17" ht="30">
      <c r="A6" s="18"/>
      <c r="B6" s="18"/>
      <c r="C6" s="18"/>
      <c r="D6" s="18"/>
      <c r="E6" s="18"/>
      <c r="F6" s="18"/>
      <c r="G6" s="367"/>
      <c r="H6" s="367"/>
      <c r="I6" s="367"/>
      <c r="J6" s="367"/>
      <c r="K6" s="367"/>
      <c r="L6" s="367"/>
      <c r="M6" s="367"/>
      <c r="N6" s="367"/>
      <c r="Q6" s="16"/>
    </row>
    <row r="7" spans="1:17">
      <c r="A7" s="18"/>
      <c r="B7" s="18"/>
      <c r="C7" s="18"/>
      <c r="D7" s="18"/>
      <c r="E7" s="18"/>
      <c r="F7" s="18"/>
      <c r="G7" s="18"/>
      <c r="H7" s="18"/>
      <c r="I7" s="18"/>
      <c r="J7" s="18"/>
      <c r="K7" s="18"/>
      <c r="L7" s="18"/>
      <c r="M7" s="18"/>
      <c r="N7" s="18"/>
    </row>
    <row r="8" spans="1:17">
      <c r="A8" s="18"/>
      <c r="B8" s="18"/>
      <c r="C8" s="18"/>
      <c r="D8" s="18"/>
      <c r="E8" s="18"/>
      <c r="F8" s="18"/>
      <c r="G8" s="18"/>
      <c r="H8" s="18"/>
      <c r="I8" s="18"/>
      <c r="J8" s="18"/>
      <c r="K8" s="18"/>
      <c r="L8" s="18"/>
      <c r="M8" s="18"/>
      <c r="N8" s="18"/>
    </row>
    <row r="9" spans="1:17">
      <c r="A9" s="18"/>
      <c r="B9" s="18"/>
      <c r="C9" s="18"/>
      <c r="D9" s="18"/>
      <c r="E9" s="18"/>
      <c r="F9" s="18"/>
      <c r="G9" s="18"/>
      <c r="H9" s="18"/>
      <c r="I9" s="18"/>
      <c r="J9" s="18"/>
      <c r="K9" s="18"/>
      <c r="L9" s="18"/>
      <c r="M9" s="18"/>
      <c r="N9" s="18"/>
    </row>
    <row r="10" spans="1:17" ht="14.5">
      <c r="A10" s="18"/>
      <c r="B10" s="18"/>
      <c r="C10" s="18"/>
      <c r="D10" s="18"/>
      <c r="E10" s="18"/>
      <c r="F10" s="18"/>
      <c r="G10" s="18"/>
      <c r="H10" s="18"/>
      <c r="I10" s="18"/>
      <c r="J10" s="18"/>
      <c r="K10" s="18"/>
      <c r="L10" s="18"/>
      <c r="M10" s="18"/>
      <c r="N10" s="18"/>
      <c r="O10" s="17"/>
    </row>
    <row r="11" spans="1:17" ht="14.5">
      <c r="A11" s="18"/>
      <c r="B11" s="18"/>
      <c r="C11" s="18"/>
      <c r="D11" s="18"/>
      <c r="E11" s="18"/>
      <c r="F11" s="18"/>
      <c r="G11" s="18"/>
      <c r="H11" s="18"/>
      <c r="I11" s="18"/>
      <c r="J11" s="18"/>
      <c r="K11" s="18"/>
      <c r="L11" s="18"/>
      <c r="M11" s="18"/>
      <c r="N11" s="18"/>
      <c r="O11" s="17"/>
    </row>
    <row r="12" spans="1:17" ht="14.5">
      <c r="A12" s="18"/>
      <c r="B12" s="374"/>
      <c r="C12" s="375"/>
      <c r="D12" s="375"/>
      <c r="E12" s="375"/>
      <c r="F12" s="375"/>
      <c r="G12" s="375"/>
      <c r="H12" s="375"/>
      <c r="I12" s="375"/>
      <c r="J12" s="375"/>
      <c r="K12" s="375"/>
      <c r="L12" s="375"/>
      <c r="M12" s="375"/>
      <c r="N12" s="18"/>
      <c r="O12" s="17"/>
    </row>
    <row r="13" spans="1:17" ht="13">
      <c r="A13" s="18"/>
      <c r="B13" s="374"/>
      <c r="C13" s="375"/>
      <c r="D13" s="375"/>
      <c r="E13" s="375"/>
      <c r="F13" s="375"/>
      <c r="G13" s="375"/>
      <c r="H13" s="375"/>
      <c r="I13" s="375"/>
      <c r="J13" s="375"/>
      <c r="K13" s="375"/>
      <c r="L13" s="375"/>
      <c r="M13" s="375"/>
      <c r="N13" s="18"/>
    </row>
    <row r="14" spans="1:17" ht="32.5">
      <c r="A14" s="18"/>
      <c r="B14" s="366"/>
      <c r="C14" s="366"/>
      <c r="D14" s="366"/>
      <c r="E14" s="366"/>
      <c r="F14" s="366"/>
      <c r="G14" s="366"/>
      <c r="H14" s="366"/>
      <c r="I14" s="366"/>
      <c r="J14" s="366"/>
      <c r="K14" s="366"/>
      <c r="L14" s="366"/>
      <c r="M14" s="366"/>
      <c r="N14" s="18"/>
    </row>
    <row r="15" spans="1:17" ht="32.5">
      <c r="A15" s="18"/>
      <c r="B15" s="366" t="s">
        <v>1</v>
      </c>
      <c r="C15" s="366"/>
      <c r="D15" s="366"/>
      <c r="E15" s="366"/>
      <c r="F15" s="366"/>
      <c r="G15" s="366"/>
      <c r="H15" s="366"/>
      <c r="I15" s="366"/>
      <c r="J15" s="366"/>
      <c r="K15" s="366"/>
      <c r="L15" s="366"/>
      <c r="M15" s="366"/>
      <c r="N15" s="18"/>
    </row>
    <row r="16" spans="1:17" ht="33.75" customHeight="1">
      <c r="A16" s="18"/>
      <c r="B16" s="366" t="s">
        <v>2</v>
      </c>
      <c r="C16" s="366"/>
      <c r="D16" s="366"/>
      <c r="E16" s="366"/>
      <c r="F16" s="366"/>
      <c r="G16" s="366"/>
      <c r="H16" s="366"/>
      <c r="I16" s="366"/>
      <c r="J16" s="366"/>
      <c r="K16" s="366"/>
      <c r="L16" s="366"/>
      <c r="M16" s="366"/>
      <c r="N16" s="18"/>
    </row>
    <row r="17" spans="1:15" ht="14.5">
      <c r="A17" s="18"/>
      <c r="B17" s="18"/>
      <c r="C17" s="184"/>
      <c r="D17" s="184"/>
      <c r="E17" s="184"/>
      <c r="F17" s="184"/>
      <c r="G17" s="184"/>
      <c r="H17" s="184"/>
      <c r="I17" s="184"/>
      <c r="J17" s="184"/>
      <c r="K17" s="184"/>
      <c r="L17" s="184"/>
      <c r="M17" s="184"/>
      <c r="N17" s="18"/>
      <c r="O17" s="17"/>
    </row>
    <row r="18" spans="1:15" ht="14.5">
      <c r="A18" s="18"/>
      <c r="B18" s="185"/>
      <c r="C18" s="186"/>
      <c r="D18" s="186"/>
      <c r="E18" s="186"/>
      <c r="F18" s="186"/>
      <c r="G18" s="186"/>
      <c r="H18" s="186"/>
      <c r="I18" s="186"/>
      <c r="J18" s="186"/>
      <c r="K18" s="186"/>
      <c r="L18" s="186"/>
      <c r="M18" s="186"/>
      <c r="N18" s="18"/>
      <c r="O18" s="17"/>
    </row>
    <row r="19" spans="1:15" ht="14.5">
      <c r="A19" s="18"/>
      <c r="B19" s="185"/>
      <c r="C19" s="186"/>
      <c r="D19" s="186"/>
      <c r="E19" s="186"/>
      <c r="F19" s="186"/>
      <c r="G19" s="186"/>
      <c r="H19" s="186"/>
      <c r="I19" s="186"/>
      <c r="J19" s="186"/>
      <c r="K19" s="186"/>
      <c r="L19" s="186"/>
      <c r="M19" s="186"/>
      <c r="N19" s="18"/>
      <c r="O19" s="17"/>
    </row>
    <row r="20" spans="1:15" ht="14.5">
      <c r="A20" s="18"/>
      <c r="B20" s="185"/>
      <c r="C20" s="184"/>
      <c r="D20" s="184"/>
      <c r="E20" s="184"/>
      <c r="F20" s="184"/>
      <c r="G20" s="184"/>
      <c r="H20" s="184"/>
      <c r="I20" s="184"/>
      <c r="J20" s="184"/>
      <c r="K20" s="184"/>
      <c r="L20" s="184"/>
      <c r="M20" s="184"/>
      <c r="N20" s="18"/>
      <c r="O20" s="17"/>
    </row>
    <row r="21" spans="1:15" ht="21.75" customHeight="1">
      <c r="A21" s="18"/>
      <c r="B21" s="186"/>
      <c r="C21" s="184"/>
      <c r="D21" s="184"/>
      <c r="E21" s="184"/>
      <c r="F21" s="184"/>
      <c r="G21" s="184"/>
      <c r="H21" s="184"/>
      <c r="I21" s="184"/>
      <c r="J21" s="184"/>
      <c r="K21" s="184"/>
      <c r="L21" s="184"/>
      <c r="M21" s="184"/>
      <c r="N21" s="18"/>
      <c r="O21" s="17"/>
    </row>
    <row r="22" spans="1:15" ht="23">
      <c r="A22" s="18"/>
      <c r="B22" s="368" t="s">
        <v>3</v>
      </c>
      <c r="C22" s="368"/>
      <c r="D22" s="368"/>
      <c r="E22" s="368"/>
      <c r="F22" s="368"/>
      <c r="G22" s="368"/>
      <c r="H22" s="368"/>
      <c r="I22" s="368"/>
      <c r="J22" s="368"/>
      <c r="K22" s="368"/>
      <c r="L22" s="368"/>
      <c r="M22" s="368"/>
      <c r="N22" s="18"/>
      <c r="O22" s="17"/>
    </row>
    <row r="23" spans="1:15" ht="14.5">
      <c r="A23" s="18"/>
      <c r="B23" s="185"/>
      <c r="C23" s="184"/>
      <c r="D23" s="184"/>
      <c r="E23" s="184"/>
      <c r="F23" s="184"/>
      <c r="G23" s="184"/>
      <c r="H23" s="184"/>
      <c r="I23" s="184"/>
      <c r="J23" s="184"/>
      <c r="K23" s="184"/>
      <c r="L23" s="184"/>
      <c r="M23" s="184"/>
      <c r="N23" s="18"/>
      <c r="O23" s="17"/>
    </row>
    <row r="24" spans="1:15" ht="42" customHeight="1">
      <c r="A24" s="18"/>
      <c r="B24" s="369" t="s">
        <v>4</v>
      </c>
      <c r="C24" s="369"/>
      <c r="D24" s="369"/>
      <c r="E24" s="369"/>
      <c r="F24" s="369"/>
      <c r="G24" s="369"/>
      <c r="H24" s="369"/>
      <c r="I24" s="369"/>
      <c r="J24" s="369"/>
      <c r="K24" s="369"/>
      <c r="L24" s="369"/>
      <c r="M24" s="369"/>
      <c r="N24" s="18"/>
      <c r="O24" s="17"/>
    </row>
    <row r="25" spans="1:15" ht="14.5">
      <c r="A25" s="18"/>
      <c r="B25" s="18"/>
      <c r="C25" s="18"/>
      <c r="D25" s="18"/>
      <c r="E25" s="18"/>
      <c r="F25" s="18"/>
      <c r="G25" s="18"/>
      <c r="H25" s="18"/>
      <c r="I25" s="18"/>
      <c r="J25" s="18"/>
      <c r="K25" s="18"/>
      <c r="L25" s="18"/>
      <c r="M25" s="18"/>
      <c r="N25" s="18"/>
      <c r="O25" s="17"/>
    </row>
    <row r="26" spans="1:15">
      <c r="A26" s="18"/>
      <c r="B26" s="18"/>
      <c r="C26" s="18"/>
      <c r="D26" s="18"/>
      <c r="E26" s="18"/>
      <c r="F26" s="18"/>
      <c r="G26" s="18"/>
      <c r="H26" s="18"/>
      <c r="I26" s="18"/>
      <c r="J26" s="18"/>
      <c r="K26" s="18"/>
      <c r="L26" s="18"/>
      <c r="M26" s="18"/>
      <c r="N26" s="18"/>
    </row>
    <row r="27" spans="1:15" ht="23">
      <c r="A27" s="18"/>
      <c r="B27" s="361"/>
      <c r="C27" s="361"/>
      <c r="D27" s="361"/>
      <c r="E27" s="361"/>
      <c r="F27" s="361"/>
      <c r="G27" s="361"/>
      <c r="H27" s="361"/>
      <c r="I27" s="361"/>
      <c r="J27" s="361"/>
      <c r="K27" s="361"/>
      <c r="L27" s="361"/>
      <c r="M27" s="361"/>
      <c r="N27" s="18"/>
    </row>
    <row r="28" spans="1:15" ht="23">
      <c r="A28" s="18"/>
      <c r="B28" s="361"/>
      <c r="C28" s="361"/>
      <c r="D28" s="361"/>
      <c r="E28" s="361"/>
      <c r="F28" s="361"/>
      <c r="G28" s="361"/>
      <c r="H28" s="361"/>
      <c r="I28" s="361"/>
      <c r="J28" s="361"/>
      <c r="K28" s="361"/>
      <c r="L28" s="361"/>
      <c r="M28" s="361"/>
      <c r="N28" s="18"/>
    </row>
    <row r="29" spans="1:15" ht="23">
      <c r="A29" s="18"/>
      <c r="B29" s="361"/>
      <c r="C29" s="361"/>
      <c r="D29" s="361"/>
      <c r="E29" s="361"/>
      <c r="F29" s="361"/>
      <c r="G29" s="361"/>
      <c r="H29" s="361"/>
      <c r="I29" s="361"/>
      <c r="J29" s="361"/>
      <c r="K29" s="361"/>
      <c r="L29" s="361"/>
      <c r="M29" s="361"/>
      <c r="N29" s="18"/>
    </row>
    <row r="30" spans="1:15">
      <c r="A30" s="18"/>
      <c r="B30" s="18"/>
      <c r="C30" s="18"/>
      <c r="D30" s="18"/>
      <c r="E30" s="18"/>
      <c r="F30" s="18"/>
      <c r="G30" s="18"/>
      <c r="H30" s="18"/>
      <c r="I30" s="18"/>
      <c r="J30" s="18"/>
      <c r="K30" s="18"/>
      <c r="L30" s="18"/>
      <c r="M30" s="18"/>
      <c r="N30" s="18"/>
    </row>
    <row r="31" spans="1:15" ht="30" customHeight="1">
      <c r="A31" s="18"/>
      <c r="B31" s="361" t="s">
        <v>5</v>
      </c>
      <c r="C31" s="361"/>
      <c r="D31" s="361"/>
      <c r="E31" s="361"/>
      <c r="F31" s="361"/>
      <c r="G31" s="361"/>
      <c r="H31" s="361"/>
      <c r="I31" s="361"/>
      <c r="J31" s="361"/>
      <c r="K31" s="361"/>
      <c r="L31" s="361"/>
      <c r="M31" s="361"/>
      <c r="N31" s="18"/>
    </row>
    <row r="32" spans="1:15" ht="22.5">
      <c r="A32" s="18"/>
      <c r="B32" s="370" t="s">
        <v>6</v>
      </c>
      <c r="C32" s="371"/>
      <c r="D32" s="371"/>
      <c r="E32" s="371"/>
      <c r="F32" s="371"/>
      <c r="G32" s="371"/>
      <c r="H32" s="371"/>
      <c r="I32" s="371"/>
      <c r="J32" s="371"/>
      <c r="K32" s="371"/>
      <c r="L32" s="371"/>
      <c r="M32" s="371"/>
      <c r="N32" s="18"/>
    </row>
    <row r="33" spans="1:14">
      <c r="A33" s="18"/>
      <c r="B33" s="18"/>
      <c r="C33" s="18"/>
      <c r="D33" s="18"/>
      <c r="E33" s="18"/>
      <c r="F33" s="18"/>
      <c r="G33" s="18"/>
      <c r="H33" s="18"/>
      <c r="I33" s="18"/>
      <c r="J33" s="18"/>
      <c r="K33" s="18"/>
      <c r="L33" s="18"/>
      <c r="M33" s="18"/>
      <c r="N33" s="18"/>
    </row>
    <row r="34" spans="1:14" ht="23">
      <c r="A34" s="18"/>
      <c r="B34" s="361"/>
      <c r="C34" s="361"/>
      <c r="D34" s="361"/>
      <c r="E34" s="361"/>
      <c r="F34" s="361"/>
      <c r="G34" s="361"/>
      <c r="H34" s="361"/>
      <c r="I34" s="361"/>
      <c r="J34" s="361"/>
      <c r="K34" s="361"/>
      <c r="L34" s="361"/>
      <c r="M34" s="361"/>
      <c r="N34" s="18"/>
    </row>
    <row r="35" spans="1:14" ht="23">
      <c r="A35" s="18"/>
      <c r="B35" s="361"/>
      <c r="C35" s="361"/>
      <c r="D35" s="361"/>
      <c r="E35" s="361"/>
      <c r="F35" s="361"/>
      <c r="G35" s="361"/>
      <c r="H35" s="361"/>
      <c r="I35" s="361"/>
      <c r="J35" s="361"/>
      <c r="K35" s="361"/>
      <c r="L35" s="361"/>
      <c r="M35" s="361"/>
      <c r="N35" s="18"/>
    </row>
    <row r="36" spans="1:14" ht="23">
      <c r="A36" s="18"/>
      <c r="B36" s="361"/>
      <c r="C36" s="361"/>
      <c r="D36" s="361"/>
      <c r="E36" s="361"/>
      <c r="F36" s="361"/>
      <c r="G36" s="361"/>
      <c r="H36" s="361"/>
      <c r="I36" s="361"/>
      <c r="J36" s="361"/>
      <c r="K36" s="361"/>
      <c r="L36" s="361"/>
      <c r="M36" s="361"/>
      <c r="N36" s="18"/>
    </row>
    <row r="37" spans="1:14">
      <c r="A37" s="18"/>
      <c r="B37" s="18"/>
      <c r="C37" s="18"/>
      <c r="D37" s="18"/>
      <c r="E37" s="18"/>
      <c r="F37" s="18"/>
      <c r="G37" s="18"/>
      <c r="H37" s="18"/>
      <c r="I37" s="18"/>
      <c r="J37" s="18"/>
      <c r="K37" s="18"/>
      <c r="L37" s="18"/>
      <c r="M37" s="18"/>
      <c r="N37" s="18"/>
    </row>
    <row r="38" spans="1:14" ht="23">
      <c r="A38" s="18"/>
      <c r="B38" s="361"/>
      <c r="C38" s="361"/>
      <c r="D38" s="361"/>
      <c r="E38" s="361"/>
      <c r="F38" s="361"/>
      <c r="G38" s="361"/>
      <c r="H38" s="361"/>
      <c r="I38" s="361"/>
      <c r="J38" s="361"/>
      <c r="K38" s="361"/>
      <c r="L38" s="361"/>
      <c r="M38" s="361"/>
      <c r="N38" s="18"/>
    </row>
    <row r="39" spans="1:14" ht="27.5">
      <c r="A39" s="18"/>
      <c r="B39" s="362"/>
      <c r="C39" s="363"/>
      <c r="D39" s="363"/>
      <c r="E39" s="363"/>
      <c r="F39" s="363"/>
      <c r="G39" s="363"/>
      <c r="H39" s="363"/>
      <c r="I39" s="363"/>
      <c r="J39" s="363"/>
      <c r="K39" s="363"/>
      <c r="L39" s="363"/>
      <c r="M39" s="363"/>
      <c r="N39" s="18"/>
    </row>
    <row r="40" spans="1:14">
      <c r="A40" s="18"/>
      <c r="B40" s="18"/>
      <c r="C40" s="18"/>
      <c r="D40" s="18"/>
      <c r="E40" s="18"/>
      <c r="F40" s="18"/>
      <c r="G40" s="18"/>
      <c r="H40" s="18"/>
      <c r="I40" s="18"/>
      <c r="J40" s="18"/>
      <c r="K40" s="18"/>
      <c r="L40" s="18"/>
      <c r="M40" s="18"/>
      <c r="N40" s="18"/>
    </row>
    <row r="41" spans="1:14" ht="15.5">
      <c r="A41" s="18"/>
      <c r="B41" s="19"/>
      <c r="C41" s="19"/>
      <c r="D41" s="19"/>
      <c r="E41" s="19"/>
      <c r="F41" s="20"/>
      <c r="G41" s="364"/>
      <c r="H41" s="364"/>
      <c r="I41" s="364"/>
      <c r="J41" s="364"/>
      <c r="K41" s="364"/>
      <c r="L41" s="364"/>
      <c r="M41" s="364"/>
      <c r="N41" s="18"/>
    </row>
    <row r="42" spans="1:14">
      <c r="A42" s="18"/>
      <c r="B42" s="18"/>
      <c r="C42" s="18"/>
      <c r="D42" s="18"/>
      <c r="E42" s="18"/>
      <c r="F42" s="18"/>
      <c r="G42" s="18"/>
      <c r="H42" s="18"/>
      <c r="I42" s="18"/>
      <c r="J42" s="18"/>
      <c r="K42" s="18"/>
      <c r="L42" s="18"/>
      <c r="M42" s="18"/>
      <c r="N42" s="18"/>
    </row>
    <row r="43" spans="1:14" ht="27" customHeight="1">
      <c r="A43" s="18"/>
      <c r="B43" s="18"/>
      <c r="C43" s="18"/>
      <c r="D43" s="187" t="s">
        <v>7</v>
      </c>
      <c r="E43" s="21"/>
      <c r="F43" s="21"/>
      <c r="G43" s="21"/>
      <c r="H43" s="21"/>
      <c r="I43" s="21"/>
      <c r="J43" s="21"/>
      <c r="K43" s="21"/>
      <c r="L43" s="18"/>
      <c r="M43" s="18"/>
      <c r="N43" s="18"/>
    </row>
    <row r="44" spans="1:14" ht="27" customHeight="1">
      <c r="A44" s="18"/>
      <c r="B44" s="18"/>
      <c r="C44" s="18"/>
      <c r="D44" s="188" t="s">
        <v>8</v>
      </c>
      <c r="E44" s="21"/>
      <c r="F44" s="21"/>
      <c r="G44" s="21"/>
      <c r="H44" s="21"/>
      <c r="I44" s="21"/>
      <c r="J44" s="21"/>
      <c r="K44" s="21"/>
      <c r="L44" s="18"/>
      <c r="M44" s="18"/>
      <c r="N44" s="18"/>
    </row>
    <row r="45" spans="1:14" ht="27" customHeight="1">
      <c r="A45" s="18"/>
      <c r="B45" s="18"/>
      <c r="C45" s="18"/>
      <c r="D45" s="188" t="s">
        <v>9</v>
      </c>
      <c r="E45" s="21"/>
      <c r="F45" s="21"/>
      <c r="G45" s="21"/>
      <c r="H45" s="21"/>
      <c r="I45" s="21"/>
      <c r="J45" s="21"/>
      <c r="K45" s="21"/>
      <c r="L45" s="18"/>
      <c r="M45" s="18"/>
      <c r="N45" s="18"/>
    </row>
    <row r="46" spans="1:14" ht="27" customHeight="1">
      <c r="A46" s="18"/>
      <c r="B46" s="18"/>
      <c r="C46" s="18"/>
      <c r="D46" s="188" t="s">
        <v>10</v>
      </c>
      <c r="E46" s="21"/>
      <c r="F46" s="21"/>
      <c r="G46" s="21"/>
      <c r="H46" s="21"/>
      <c r="I46" s="21"/>
      <c r="J46" s="21"/>
      <c r="K46" s="21"/>
      <c r="L46" s="18"/>
      <c r="M46" s="18"/>
      <c r="N46" s="18"/>
    </row>
    <row r="47" spans="1:14" ht="27" customHeight="1">
      <c r="A47" s="18"/>
      <c r="B47" s="18"/>
      <c r="C47" s="18"/>
      <c r="D47" s="188" t="s">
        <v>11</v>
      </c>
      <c r="E47" s="21"/>
      <c r="F47" s="21"/>
      <c r="G47" s="21"/>
      <c r="H47" s="21"/>
      <c r="I47" s="21"/>
      <c r="J47" s="21"/>
      <c r="K47" s="21"/>
      <c r="L47" s="18"/>
      <c r="M47" s="18"/>
      <c r="N47" s="18"/>
    </row>
    <row r="48" spans="1:14">
      <c r="A48" s="18"/>
      <c r="B48" s="18"/>
      <c r="C48" s="18"/>
      <c r="D48" s="18"/>
      <c r="E48" s="18"/>
      <c r="F48" s="18"/>
      <c r="G48" s="18"/>
      <c r="H48" s="18"/>
      <c r="I48" s="18"/>
      <c r="J48" s="18"/>
      <c r="K48" s="18"/>
      <c r="L48" s="18"/>
      <c r="M48" s="18"/>
      <c r="N48" s="18"/>
    </row>
    <row r="49" spans="1:14">
      <c r="A49" s="18"/>
      <c r="B49" s="18"/>
      <c r="C49" s="365" t="s">
        <v>12</v>
      </c>
      <c r="D49" s="365"/>
      <c r="E49" s="365"/>
      <c r="F49" s="365"/>
      <c r="G49" s="365"/>
      <c r="H49" s="365"/>
      <c r="I49" s="365"/>
      <c r="J49" s="365"/>
      <c r="K49" s="365"/>
      <c r="L49" s="365"/>
      <c r="M49" s="18"/>
      <c r="N49" s="18"/>
    </row>
    <row r="50" spans="1:14">
      <c r="A50" s="18"/>
      <c r="B50" s="18"/>
      <c r="C50" s="18"/>
      <c r="D50" s="18"/>
      <c r="E50" s="18"/>
      <c r="F50" s="18"/>
      <c r="G50" s="18"/>
      <c r="H50" s="18"/>
      <c r="I50" s="18"/>
      <c r="J50" s="18"/>
      <c r="K50" s="18"/>
      <c r="L50" s="18"/>
      <c r="M50" s="18"/>
      <c r="N50" s="18"/>
    </row>
    <row r="51" spans="1:14">
      <c r="A51" s="18"/>
      <c r="B51" s="18"/>
      <c r="C51" s="18"/>
      <c r="D51" s="18"/>
      <c r="E51" s="18"/>
      <c r="F51" s="18"/>
      <c r="G51" s="18"/>
      <c r="H51" s="18"/>
      <c r="I51" s="18"/>
      <c r="J51" s="18"/>
      <c r="K51" s="18"/>
      <c r="L51" s="18"/>
      <c r="M51" s="18"/>
      <c r="N51" s="18"/>
    </row>
    <row r="52" spans="1:14">
      <c r="A52" s="18"/>
      <c r="B52" s="18"/>
      <c r="C52" s="18"/>
      <c r="D52" s="18"/>
      <c r="E52" s="18"/>
      <c r="F52" s="18"/>
      <c r="G52" s="18"/>
      <c r="H52" s="18"/>
      <c r="I52" s="18"/>
      <c r="J52" s="18"/>
      <c r="K52" s="18"/>
      <c r="L52" s="18"/>
      <c r="M52" s="18"/>
      <c r="N52" s="18"/>
    </row>
    <row r="53" spans="1:14" ht="15" customHeight="1">
      <c r="A53" s="365"/>
      <c r="B53" s="365"/>
      <c r="C53" s="365"/>
      <c r="D53" s="365"/>
      <c r="E53" s="365"/>
      <c r="F53" s="365"/>
      <c r="G53" s="365"/>
      <c r="H53" s="365"/>
      <c r="I53" s="365"/>
      <c r="J53" s="365"/>
      <c r="K53" s="365"/>
      <c r="L53" s="365"/>
      <c r="M53" s="365"/>
      <c r="N53" s="365"/>
    </row>
    <row r="54" spans="1:14">
      <c r="A54" s="18"/>
      <c r="B54" s="18"/>
      <c r="C54" s="18"/>
      <c r="D54" s="18"/>
      <c r="E54" s="18"/>
      <c r="F54" s="18"/>
      <c r="G54" s="18"/>
      <c r="H54" s="18"/>
      <c r="I54" s="18"/>
      <c r="J54" s="18"/>
      <c r="K54" s="18"/>
      <c r="L54" s="18"/>
      <c r="M54" s="18"/>
      <c r="N54" s="18"/>
    </row>
  </sheetData>
  <sheetProtection selectLockedCells="1"/>
  <mergeCells count="24">
    <mergeCell ref="G3:N3"/>
    <mergeCell ref="G4:N4"/>
    <mergeCell ref="G5:N5"/>
    <mergeCell ref="B12:M12"/>
    <mergeCell ref="B13:M13"/>
    <mergeCell ref="B14:M14"/>
    <mergeCell ref="G6:N6"/>
    <mergeCell ref="B36:M36"/>
    <mergeCell ref="B15:M15"/>
    <mergeCell ref="B16:M16"/>
    <mergeCell ref="B22:M22"/>
    <mergeCell ref="B24:M24"/>
    <mergeCell ref="B27:M27"/>
    <mergeCell ref="B28:M28"/>
    <mergeCell ref="B29:M29"/>
    <mergeCell ref="B31:M31"/>
    <mergeCell ref="B32:M32"/>
    <mergeCell ref="B34:M34"/>
    <mergeCell ref="B35:M35"/>
    <mergeCell ref="B38:M38"/>
    <mergeCell ref="B39:M39"/>
    <mergeCell ref="G41:M41"/>
    <mergeCell ref="C49:L49"/>
    <mergeCell ref="A53:N53"/>
  </mergeCells>
  <hyperlinks>
    <hyperlink ref="B32" r:id="rId1" xr:uid="{00000000-0004-0000-0000-000001000000}"/>
  </hyperlinks>
  <printOptions horizontalCentered="1" verticalCentered="1"/>
  <pageMargins left="0.25" right="0.25" top="0.4" bottom="0.4" header="0.5" footer="0.34"/>
  <pageSetup scale="71" orientation="portrait" useFirstPageNumber="1" r:id="rId2"/>
  <headerFooter scaleWithDoc="0"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pageSetUpPr fitToPage="1"/>
  </sheetPr>
  <dimension ref="A1:ADR355"/>
  <sheetViews>
    <sheetView tabSelected="1" zoomScale="85" zoomScaleNormal="85" workbookViewId="0">
      <selection activeCell="Q59" sqref="Q59:R59"/>
    </sheetView>
  </sheetViews>
  <sheetFormatPr defaultColWidth="0" defaultRowHeight="12.5" zeroHeight="1"/>
  <cols>
    <col min="1" max="1" width="5.54296875" style="28" customWidth="1"/>
    <col min="2" max="4" width="4.7265625" style="28" customWidth="1"/>
    <col min="5" max="5" width="5.453125" style="28" customWidth="1"/>
    <col min="6" max="6" width="4" style="28" customWidth="1"/>
    <col min="7" max="7" width="5.7265625" style="28" customWidth="1"/>
    <col min="8" max="8" width="6.81640625" style="28" customWidth="1"/>
    <col min="9" max="10" width="6.7265625" style="28" customWidth="1"/>
    <col min="11" max="11" width="7.7265625" style="28" customWidth="1"/>
    <col min="12" max="12" width="8.54296875" style="28" customWidth="1"/>
    <col min="13" max="13" width="6.7265625" style="28" customWidth="1"/>
    <col min="14" max="14" width="7.26953125" style="28" customWidth="1"/>
    <col min="15" max="17" width="6.7265625" style="28" customWidth="1"/>
    <col min="18" max="18" width="8.1796875" style="28" customWidth="1"/>
    <col min="19" max="20" width="6.7265625" style="28" customWidth="1"/>
    <col min="21" max="21" width="7.453125" style="28" customWidth="1"/>
    <col min="22" max="22" width="8.26953125" style="28" customWidth="1"/>
    <col min="23" max="24" width="7.453125" style="28" customWidth="1"/>
    <col min="25" max="26" width="6.7265625" style="28" customWidth="1"/>
    <col min="27" max="27" width="10.453125" style="28" customWidth="1"/>
    <col min="28" max="28" width="7.7265625" style="50" hidden="1" customWidth="1"/>
    <col min="29" max="29" width="12" style="50" hidden="1" customWidth="1"/>
    <col min="30" max="30" width="12.26953125" style="50" hidden="1" customWidth="1"/>
    <col min="31" max="31" width="41.1796875" style="51" hidden="1" customWidth="1"/>
    <col min="32" max="32" width="16.1796875" style="51" hidden="1" customWidth="1"/>
    <col min="33" max="33" width="19.81640625" style="51" hidden="1" customWidth="1"/>
    <col min="34" max="34" width="36.54296875" style="51" hidden="1" customWidth="1"/>
    <col min="35" max="35" width="9.7265625" style="51" hidden="1" customWidth="1"/>
    <col min="36" max="36" width="18.26953125" style="51" hidden="1" customWidth="1"/>
    <col min="37" max="37" width="20.453125" style="52" hidden="1" customWidth="1"/>
    <col min="38" max="38" width="27.7265625" style="52" hidden="1" customWidth="1"/>
    <col min="39" max="39" width="66" style="51" hidden="1" customWidth="1"/>
    <col min="40" max="40" width="52.26953125" style="51" hidden="1" customWidth="1"/>
    <col min="41" max="41" width="26.54296875" style="51" hidden="1" customWidth="1"/>
    <col min="42" max="42" width="24.54296875" style="59" hidden="1" customWidth="1"/>
    <col min="43" max="43" width="26.1796875" style="59" hidden="1" customWidth="1"/>
    <col min="44" max="44" width="29.453125" style="59" hidden="1" customWidth="1"/>
    <col min="45" max="45" width="16.1796875" style="59" hidden="1" customWidth="1"/>
    <col min="46" max="46" width="11.7265625" style="59" hidden="1" customWidth="1"/>
    <col min="47" max="47" width="30.453125" style="50" hidden="1" customWidth="1"/>
    <col min="48" max="48" width="33.26953125" style="50" hidden="1" customWidth="1"/>
    <col min="49" max="49" width="19.81640625" style="56" hidden="1" customWidth="1"/>
    <col min="50" max="51" width="19.54296875" style="56" hidden="1" customWidth="1"/>
    <col min="52" max="52" width="16.1796875" style="56" hidden="1" customWidth="1"/>
    <col min="53" max="53" width="12.453125" style="56" hidden="1" customWidth="1"/>
    <col min="54" max="54" width="29" style="56" hidden="1" customWidth="1"/>
    <col min="55" max="55" width="18.7265625" style="28" hidden="1" customWidth="1"/>
    <col min="56" max="56" width="16.1796875" style="28" hidden="1" customWidth="1"/>
    <col min="57" max="57" width="22.453125" style="28" hidden="1" customWidth="1"/>
    <col min="58" max="58" width="15.7265625" style="28" hidden="1" customWidth="1"/>
    <col min="59" max="86" width="7.26953125" style="28" hidden="1" customWidth="1"/>
    <col min="87" max="255" width="9.1796875" style="28" hidden="1" customWidth="1"/>
    <col min="256" max="798" width="9.26953125" style="28" hidden="1" customWidth="1"/>
    <col min="799" max="16384" width="9.1796875" style="28" hidden="1"/>
  </cols>
  <sheetData>
    <row r="1" spans="1:257" s="1" customFormat="1" ht="18" customHeight="1">
      <c r="A1" s="440" t="s">
        <v>13</v>
      </c>
      <c r="B1" s="440"/>
      <c r="C1" s="440"/>
      <c r="D1" s="440"/>
      <c r="E1" s="440"/>
      <c r="F1" s="440"/>
      <c r="G1" s="440"/>
      <c r="H1" s="440"/>
      <c r="I1" s="440"/>
      <c r="J1" s="440"/>
      <c r="K1" s="440"/>
      <c r="L1" s="440"/>
      <c r="M1" s="440"/>
      <c r="N1" s="440"/>
      <c r="O1" s="439" t="s">
        <v>14</v>
      </c>
      <c r="P1" s="439"/>
      <c r="Q1" s="439"/>
      <c r="R1" s="439"/>
      <c r="S1" s="439"/>
      <c r="T1" s="439"/>
      <c r="U1" s="439"/>
      <c r="V1" s="439"/>
      <c r="W1" s="438"/>
      <c r="X1" s="438"/>
      <c r="Y1" s="438"/>
      <c r="Z1" s="438"/>
      <c r="AA1" s="438"/>
      <c r="AB1" s="28"/>
      <c r="AC1" s="28"/>
      <c r="AD1" s="28"/>
      <c r="AE1" s="200"/>
      <c r="AF1" s="200"/>
      <c r="AG1" s="200"/>
      <c r="AH1" s="200"/>
      <c r="AI1" s="200"/>
      <c r="AJ1" s="200"/>
      <c r="AK1" s="200"/>
      <c r="AL1" s="52"/>
      <c r="AM1" s="52"/>
      <c r="AN1" s="53"/>
      <c r="AO1" s="51"/>
      <c r="AP1" s="59"/>
      <c r="AQ1" s="59"/>
      <c r="AR1" s="59"/>
      <c r="AS1" s="59"/>
      <c r="AT1" s="53"/>
      <c r="AU1" s="53"/>
      <c r="AV1" s="53"/>
      <c r="AW1" s="53"/>
      <c r="AX1" s="55"/>
      <c r="AY1" s="56"/>
      <c r="AZ1" s="56"/>
      <c r="BA1" s="56"/>
      <c r="BB1" s="56"/>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row>
    <row r="2" spans="1:257" s="1" customFormat="1" ht="36" customHeight="1" thickBot="1">
      <c r="A2" s="441" t="s">
        <v>15</v>
      </c>
      <c r="B2" s="441"/>
      <c r="C2" s="441"/>
      <c r="D2" s="441"/>
      <c r="E2" s="441"/>
      <c r="F2" s="441"/>
      <c r="G2" s="441"/>
      <c r="H2" s="441"/>
      <c r="I2" s="437">
        <v>45413</v>
      </c>
      <c r="J2" s="437"/>
      <c r="K2" s="437"/>
      <c r="L2" s="437"/>
      <c r="M2" s="437"/>
      <c r="N2" s="437"/>
      <c r="O2" s="439"/>
      <c r="P2" s="439"/>
      <c r="Q2" s="439"/>
      <c r="R2" s="439"/>
      <c r="S2" s="439"/>
      <c r="T2" s="439"/>
      <c r="U2" s="439"/>
      <c r="V2" s="439"/>
      <c r="W2" s="438"/>
      <c r="X2" s="438"/>
      <c r="Y2" s="438"/>
      <c r="Z2" s="438"/>
      <c r="AA2" s="438"/>
      <c r="AB2" s="28"/>
      <c r="AC2" s="28"/>
      <c r="AD2" s="28"/>
      <c r="AE2" s="200"/>
      <c r="AF2" s="200"/>
      <c r="AG2" s="200"/>
      <c r="AH2" s="200"/>
      <c r="AI2" s="200"/>
      <c r="AJ2" s="200"/>
      <c r="AK2" s="200"/>
      <c r="AL2" s="52"/>
      <c r="AM2" s="52"/>
      <c r="AN2" s="51"/>
      <c r="AO2" s="51"/>
      <c r="AP2" s="59"/>
      <c r="AQ2" s="59"/>
      <c r="AR2" s="59"/>
      <c r="AS2" s="59"/>
      <c r="AT2" s="59"/>
      <c r="AU2" s="59"/>
      <c r="AV2" s="50"/>
      <c r="AW2" s="50"/>
      <c r="AX2" s="56"/>
      <c r="AY2" s="56"/>
      <c r="AZ2" s="56"/>
      <c r="BA2" s="56"/>
      <c r="BB2" s="56"/>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s="1" customFormat="1" ht="17.25" customHeight="1">
      <c r="A3" s="442" t="s">
        <v>16</v>
      </c>
      <c r="B3" s="442"/>
      <c r="C3" s="442"/>
      <c r="D3" s="444"/>
      <c r="E3" s="444"/>
      <c r="F3" s="444"/>
      <c r="G3" s="444"/>
      <c r="H3" s="444"/>
      <c r="I3" s="444"/>
      <c r="J3" s="444"/>
      <c r="K3" s="444"/>
      <c r="L3" s="444"/>
      <c r="M3" s="444"/>
      <c r="N3" s="444"/>
      <c r="O3" s="444"/>
      <c r="P3" s="444"/>
      <c r="Q3" s="443" t="s">
        <v>17</v>
      </c>
      <c r="R3" s="443"/>
      <c r="S3" s="443"/>
      <c r="T3" s="443"/>
      <c r="U3" s="448"/>
      <c r="V3" s="448"/>
      <c r="W3" s="448"/>
      <c r="X3" s="448"/>
      <c r="Y3" s="448"/>
      <c r="Z3" s="448"/>
      <c r="AA3" s="448"/>
      <c r="AB3" s="201"/>
      <c r="AC3" s="202"/>
      <c r="AD3" s="202"/>
      <c r="AE3" s="200"/>
      <c r="AF3" s="200"/>
      <c r="AG3" s="200"/>
      <c r="AH3" s="200"/>
      <c r="AI3" s="28"/>
      <c r="AJ3" s="28"/>
      <c r="AK3" s="28"/>
      <c r="AL3" s="28"/>
      <c r="AM3" s="52"/>
      <c r="AN3" s="51"/>
      <c r="AO3" s="51"/>
      <c r="AP3" s="59"/>
      <c r="AQ3" s="59"/>
      <c r="AR3" s="59"/>
      <c r="AS3" s="59"/>
      <c r="AT3" s="59"/>
      <c r="AU3" s="59"/>
      <c r="AV3" s="50"/>
      <c r="AW3" s="60"/>
      <c r="AX3" s="60"/>
      <c r="AY3" s="60"/>
      <c r="AZ3" s="60"/>
      <c r="BA3" s="60"/>
      <c r="BB3" s="60"/>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row>
    <row r="4" spans="1:257" s="1" customFormat="1" ht="17.25" customHeight="1">
      <c r="A4" s="389" t="s">
        <v>18</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201"/>
      <c r="AC4" s="202"/>
      <c r="AD4" s="202"/>
      <c r="AE4" s="200"/>
      <c r="AF4" s="200"/>
      <c r="AG4" s="200"/>
      <c r="AH4" s="200"/>
      <c r="AI4" s="28"/>
      <c r="AJ4" s="28"/>
      <c r="AK4" s="28"/>
      <c r="AL4" s="28"/>
      <c r="AM4" s="52"/>
      <c r="AN4" s="51"/>
      <c r="AO4" s="51"/>
      <c r="AP4" s="59"/>
      <c r="AQ4" s="59"/>
      <c r="AR4" s="59"/>
      <c r="AS4" s="59"/>
      <c r="AT4" s="59"/>
      <c r="AU4" s="59"/>
      <c r="AV4" s="50"/>
      <c r="AW4" s="60"/>
      <c r="AX4" s="60"/>
      <c r="AY4" s="60"/>
      <c r="AZ4" s="60"/>
      <c r="BA4" s="60"/>
      <c r="BB4" s="60"/>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row>
    <row r="5" spans="1:257" s="1" customFormat="1" ht="17.25" customHeight="1">
      <c r="A5" s="379" t="s">
        <v>19</v>
      </c>
      <c r="B5" s="379"/>
      <c r="C5" s="379"/>
      <c r="D5" s="379"/>
      <c r="E5" s="379"/>
      <c r="F5" s="379"/>
      <c r="G5" s="404" t="s">
        <v>20</v>
      </c>
      <c r="H5" s="404"/>
      <c r="I5" s="392" t="s">
        <v>21</v>
      </c>
      <c r="J5" s="392"/>
      <c r="K5" s="392"/>
      <c r="L5" s="392"/>
      <c r="M5" s="392"/>
      <c r="N5" s="392"/>
      <c r="O5" s="392"/>
      <c r="P5" s="392"/>
      <c r="Q5" s="392"/>
      <c r="R5" s="392"/>
      <c r="S5" s="392"/>
      <c r="T5" s="392"/>
      <c r="U5" s="392"/>
      <c r="V5" s="392"/>
      <c r="W5" s="392"/>
      <c r="X5" s="392"/>
      <c r="Y5" s="392"/>
      <c r="Z5" s="392"/>
      <c r="AA5" s="392"/>
      <c r="AB5" s="201"/>
      <c r="AC5" s="202"/>
      <c r="AD5" s="202"/>
      <c r="AE5" s="200"/>
      <c r="AF5" s="200"/>
      <c r="AG5" s="200"/>
      <c r="AH5" s="200"/>
      <c r="AI5" s="28"/>
      <c r="AJ5" s="28"/>
      <c r="AK5" s="28"/>
      <c r="AL5" s="28"/>
      <c r="AM5" s="52"/>
      <c r="AN5" s="51"/>
      <c r="AO5" s="51"/>
      <c r="AP5" s="59"/>
      <c r="AQ5" s="59"/>
      <c r="AR5" s="59"/>
      <c r="AS5" s="59"/>
      <c r="AT5" s="59"/>
      <c r="AU5" s="59"/>
      <c r="AV5" s="50"/>
      <c r="AW5" s="60"/>
      <c r="AX5" s="60"/>
      <c r="AY5" s="60"/>
      <c r="AZ5" s="60"/>
      <c r="BA5" s="60"/>
      <c r="BB5" s="60"/>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row>
    <row r="6" spans="1:257" s="1" customFormat="1" ht="24" customHeight="1">
      <c r="A6" s="380"/>
      <c r="B6" s="380"/>
      <c r="C6" s="380"/>
      <c r="D6" s="380"/>
      <c r="E6" s="380"/>
      <c r="F6" s="380"/>
      <c r="G6" s="405"/>
      <c r="H6" s="405"/>
      <c r="I6" s="295">
        <v>0.75</v>
      </c>
      <c r="J6" s="295">
        <v>1</v>
      </c>
      <c r="K6" s="295">
        <v>1.25</v>
      </c>
      <c r="L6" s="295">
        <v>2</v>
      </c>
      <c r="M6" s="295">
        <v>2.5</v>
      </c>
      <c r="N6" s="295">
        <v>3</v>
      </c>
      <c r="O6" s="295">
        <v>3.5</v>
      </c>
      <c r="P6" s="295">
        <v>4</v>
      </c>
      <c r="Q6" s="295">
        <v>5</v>
      </c>
      <c r="R6" s="295" t="s">
        <v>22</v>
      </c>
      <c r="S6" s="295" t="s">
        <v>23</v>
      </c>
      <c r="T6" s="295" t="s">
        <v>24</v>
      </c>
      <c r="U6" s="295" t="s">
        <v>25</v>
      </c>
      <c r="V6" s="295" t="s">
        <v>26</v>
      </c>
      <c r="W6" s="295" t="s">
        <v>27</v>
      </c>
      <c r="X6" s="321" t="s">
        <v>28</v>
      </c>
      <c r="Y6" s="321" t="s">
        <v>29</v>
      </c>
      <c r="Z6" s="321" t="s">
        <v>30</v>
      </c>
      <c r="AA6" s="295" t="s">
        <v>31</v>
      </c>
      <c r="AB6" s="201"/>
      <c r="AC6" s="202"/>
      <c r="AD6" s="202"/>
      <c r="AE6" s="200"/>
      <c r="AF6" s="200"/>
      <c r="AG6" s="200"/>
      <c r="AH6" s="200"/>
      <c r="AI6" s="28"/>
      <c r="AJ6" s="28"/>
      <c r="AK6" s="28"/>
      <c r="AL6" s="28"/>
      <c r="AM6" s="52"/>
      <c r="AN6" s="51"/>
      <c r="AO6" s="51"/>
      <c r="AP6" s="59"/>
      <c r="AQ6" s="59"/>
      <c r="AR6" s="59"/>
      <c r="AS6" s="59"/>
      <c r="AT6" s="59"/>
      <c r="AU6" s="59"/>
      <c r="AV6" s="50"/>
      <c r="AW6" s="60"/>
      <c r="AX6" s="60"/>
      <c r="AY6" s="60"/>
      <c r="AZ6" s="60"/>
      <c r="BA6" s="60"/>
      <c r="BB6" s="60"/>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row>
    <row r="7" spans="1:257" s="1" customFormat="1" ht="25.5" customHeight="1">
      <c r="A7" s="412" t="s">
        <v>32</v>
      </c>
      <c r="B7" s="413"/>
      <c r="C7" s="413"/>
      <c r="D7" s="413"/>
      <c r="E7" s="413"/>
      <c r="F7" s="413"/>
      <c r="G7" s="390" t="s">
        <v>33</v>
      </c>
      <c r="H7" s="391"/>
      <c r="I7" s="175"/>
      <c r="J7" s="175"/>
      <c r="K7" s="175"/>
      <c r="L7" s="376" t="s">
        <v>34</v>
      </c>
      <c r="M7" s="376"/>
      <c r="N7" s="376"/>
      <c r="O7" s="376"/>
      <c r="P7" s="376"/>
      <c r="Q7" s="376"/>
      <c r="R7" s="322"/>
      <c r="S7" s="175"/>
      <c r="T7" s="175"/>
      <c r="U7" s="24"/>
      <c r="V7" s="175"/>
      <c r="W7" s="175"/>
      <c r="X7" s="175"/>
      <c r="Y7" s="175"/>
      <c r="Z7" s="175"/>
      <c r="AA7" s="243"/>
      <c r="AB7" s="201"/>
      <c r="AC7" s="202"/>
      <c r="AD7" s="202"/>
      <c r="AE7" s="200"/>
      <c r="AF7" s="200"/>
      <c r="AG7" s="200"/>
      <c r="AH7" s="200"/>
      <c r="AI7" s="28"/>
      <c r="AJ7" s="28"/>
      <c r="AK7" s="28"/>
      <c r="AL7" s="28"/>
      <c r="AM7" s="52"/>
      <c r="AN7" s="51"/>
      <c r="AO7" s="51"/>
      <c r="AP7" s="59"/>
      <c r="AQ7" s="59"/>
      <c r="AR7" s="59"/>
      <c r="AS7" s="59"/>
      <c r="AT7" s="59"/>
      <c r="AU7" s="59"/>
      <c r="AV7" s="50"/>
      <c r="AW7" s="60"/>
      <c r="AX7" s="60"/>
      <c r="AY7" s="60"/>
      <c r="AZ7" s="60"/>
      <c r="BA7" s="60"/>
      <c r="BB7" s="60"/>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row>
    <row r="8" spans="1:257" s="24" customFormat="1" ht="25.5" customHeight="1">
      <c r="A8" s="395" t="s">
        <v>32</v>
      </c>
      <c r="B8" s="387"/>
      <c r="C8" s="387"/>
      <c r="D8" s="387"/>
      <c r="E8" s="387"/>
      <c r="F8" s="387"/>
      <c r="G8" s="400" t="s">
        <v>35</v>
      </c>
      <c r="H8" s="401"/>
      <c r="I8" s="175"/>
      <c r="J8" s="175"/>
      <c r="K8" s="175"/>
      <c r="L8" s="376" t="s">
        <v>36</v>
      </c>
      <c r="M8" s="376"/>
      <c r="N8" s="376"/>
      <c r="O8" s="376"/>
      <c r="P8" s="376"/>
      <c r="Q8" s="376"/>
      <c r="R8" s="322"/>
      <c r="S8" s="175"/>
      <c r="T8" s="175"/>
      <c r="V8" s="175"/>
      <c r="W8" s="175"/>
      <c r="X8" s="175"/>
      <c r="Y8" s="175"/>
      <c r="Z8" s="175"/>
      <c r="AA8" s="243"/>
      <c r="AB8" s="203"/>
      <c r="AC8" s="204"/>
      <c r="AD8" s="204"/>
      <c r="AM8" s="57"/>
      <c r="AN8" s="61"/>
      <c r="AT8" s="61"/>
      <c r="AU8" s="61"/>
      <c r="AV8" s="61"/>
      <c r="AW8" s="63"/>
      <c r="AX8" s="63"/>
      <c r="AY8" s="63"/>
      <c r="AZ8" s="63"/>
      <c r="BA8" s="63"/>
      <c r="BB8" s="63"/>
    </row>
    <row r="9" spans="1:257" s="24" customFormat="1" ht="25.5" customHeight="1">
      <c r="A9" s="414" t="s">
        <v>32</v>
      </c>
      <c r="B9" s="386"/>
      <c r="C9" s="386"/>
      <c r="D9" s="386"/>
      <c r="E9" s="386"/>
      <c r="F9" s="386"/>
      <c r="G9" s="416" t="s">
        <v>37</v>
      </c>
      <c r="H9" s="449"/>
      <c r="I9" s="175"/>
      <c r="J9" s="175"/>
      <c r="K9" s="175"/>
      <c r="L9" s="376" t="s">
        <v>38</v>
      </c>
      <c r="M9" s="376"/>
      <c r="N9" s="376"/>
      <c r="O9" s="376"/>
      <c r="P9" s="376"/>
      <c r="Q9" s="376"/>
      <c r="R9" s="322"/>
      <c r="S9" s="175"/>
      <c r="T9" s="175"/>
      <c r="V9" s="175"/>
      <c r="W9" s="175"/>
      <c r="X9" s="175"/>
      <c r="Y9" s="175"/>
      <c r="Z9" s="175"/>
      <c r="AA9" s="243"/>
      <c r="AB9" s="203"/>
      <c r="AC9" s="204"/>
      <c r="AD9" s="204"/>
      <c r="AM9" s="57"/>
      <c r="AN9" s="61"/>
      <c r="AT9" s="61"/>
      <c r="AU9" s="61"/>
      <c r="AV9" s="61"/>
      <c r="AW9" s="63"/>
      <c r="AX9" s="63"/>
      <c r="AY9" s="63"/>
      <c r="AZ9" s="63"/>
      <c r="BA9" s="63"/>
      <c r="BB9" s="63"/>
    </row>
    <row r="10" spans="1:257" s="24" customFormat="1" ht="25.5" customHeight="1">
      <c r="A10" s="393" t="s">
        <v>39</v>
      </c>
      <c r="B10" s="394"/>
      <c r="C10" s="394"/>
      <c r="D10" s="394"/>
      <c r="E10" s="394"/>
      <c r="F10" s="394"/>
      <c r="G10" s="398" t="s">
        <v>33</v>
      </c>
      <c r="H10" s="399"/>
      <c r="I10" s="175"/>
      <c r="J10" s="175"/>
      <c r="K10" s="175"/>
      <c r="L10" s="376" t="s">
        <v>34</v>
      </c>
      <c r="M10" s="376"/>
      <c r="N10" s="376"/>
      <c r="O10" s="376"/>
      <c r="P10" s="376"/>
      <c r="Q10" s="376"/>
      <c r="R10" s="322"/>
      <c r="S10" s="175"/>
      <c r="T10" s="175"/>
      <c r="V10" s="175"/>
      <c r="W10" s="175"/>
      <c r="X10" s="175"/>
      <c r="Y10" s="175"/>
      <c r="Z10" s="175"/>
      <c r="AA10" s="243"/>
      <c r="AB10" s="205"/>
      <c r="AC10" s="199"/>
      <c r="AD10" s="199"/>
      <c r="AM10" s="57"/>
      <c r="AN10" s="61"/>
      <c r="AT10" s="61"/>
      <c r="AU10" s="61"/>
      <c r="AV10" s="61"/>
      <c r="AW10" s="64"/>
      <c r="AX10" s="64"/>
      <c r="AY10" s="64"/>
      <c r="AZ10" s="64"/>
      <c r="BA10" s="64"/>
      <c r="BB10" s="64"/>
    </row>
    <row r="11" spans="1:257" s="24" customFormat="1" ht="25.5" customHeight="1">
      <c r="A11" s="395" t="s">
        <v>39</v>
      </c>
      <c r="B11" s="387"/>
      <c r="C11" s="387"/>
      <c r="D11" s="387"/>
      <c r="E11" s="387"/>
      <c r="F11" s="387"/>
      <c r="G11" s="400" t="s">
        <v>35</v>
      </c>
      <c r="H11" s="401"/>
      <c r="I11" s="175"/>
      <c r="J11" s="175"/>
      <c r="K11" s="175"/>
      <c r="L11" s="376" t="s">
        <v>36</v>
      </c>
      <c r="M11" s="376"/>
      <c r="N11" s="376"/>
      <c r="O11" s="376"/>
      <c r="P11" s="376"/>
      <c r="Q11" s="376"/>
      <c r="R11" s="322"/>
      <c r="S11" s="175"/>
      <c r="T11" s="175"/>
      <c r="V11" s="175"/>
      <c r="W11" s="175"/>
      <c r="X11" s="175"/>
      <c r="Y11" s="175"/>
      <c r="Z11" s="175"/>
      <c r="AA11" s="243"/>
      <c r="AB11" s="205"/>
      <c r="AC11" s="199"/>
      <c r="AD11" s="199"/>
      <c r="AM11" s="61"/>
      <c r="AN11" s="61"/>
      <c r="AT11" s="61"/>
      <c r="AU11" s="61"/>
      <c r="AV11" s="61"/>
      <c r="AW11" s="64"/>
      <c r="AX11" s="64"/>
      <c r="AY11" s="64"/>
      <c r="AZ11" s="64"/>
      <c r="BA11" s="64"/>
      <c r="BB11" s="64"/>
    </row>
    <row r="12" spans="1:257" s="24" customFormat="1" ht="25.5" customHeight="1">
      <c r="A12" s="396" t="s">
        <v>39</v>
      </c>
      <c r="B12" s="397"/>
      <c r="C12" s="397"/>
      <c r="D12" s="397"/>
      <c r="E12" s="397"/>
      <c r="F12" s="397"/>
      <c r="G12" s="402" t="s">
        <v>37</v>
      </c>
      <c r="H12" s="403"/>
      <c r="I12" s="175"/>
      <c r="J12" s="175"/>
      <c r="K12" s="175"/>
      <c r="L12" s="376" t="s">
        <v>38</v>
      </c>
      <c r="M12" s="376"/>
      <c r="N12" s="376"/>
      <c r="O12" s="376"/>
      <c r="P12" s="376"/>
      <c r="Q12" s="376"/>
      <c r="R12" s="251"/>
      <c r="S12" s="175"/>
      <c r="T12" s="175"/>
      <c r="V12" s="175"/>
      <c r="W12" s="175"/>
      <c r="X12" s="175"/>
      <c r="Y12" s="175"/>
      <c r="Z12" s="175"/>
      <c r="AA12" s="243"/>
      <c r="AB12" s="205"/>
      <c r="AD12" s="204"/>
      <c r="AF12" s="198"/>
      <c r="AG12" s="198"/>
      <c r="AM12" s="57"/>
      <c r="AN12" s="61"/>
      <c r="AT12" s="61"/>
      <c r="AU12" s="61"/>
      <c r="AV12" s="61"/>
      <c r="AW12" s="64"/>
      <c r="AX12" s="64"/>
      <c r="AY12" s="64"/>
      <c r="AZ12" s="64"/>
      <c r="BA12" s="64"/>
      <c r="BB12" s="64"/>
    </row>
    <row r="13" spans="1:257" s="24" customFormat="1">
      <c r="A13" s="394" t="s">
        <v>40</v>
      </c>
      <c r="B13" s="394"/>
      <c r="C13" s="394"/>
      <c r="D13" s="394"/>
      <c r="E13" s="394"/>
      <c r="F13" s="394"/>
      <c r="G13" s="398" t="s">
        <v>41</v>
      </c>
      <c r="H13" s="398"/>
      <c r="I13" s="322"/>
      <c r="J13" s="175"/>
      <c r="K13" s="175"/>
      <c r="L13" s="175"/>
      <c r="M13" s="175"/>
      <c r="N13" s="252"/>
      <c r="O13" s="252"/>
      <c r="P13" s="253"/>
      <c r="Q13" s="252"/>
      <c r="R13" s="341" t="s">
        <v>42</v>
      </c>
      <c r="S13" s="251"/>
      <c r="T13" s="251"/>
      <c r="V13" s="252"/>
      <c r="W13" s="175"/>
      <c r="X13" s="175"/>
      <c r="Y13" s="175"/>
      <c r="Z13" s="175"/>
      <c r="AA13" s="243"/>
      <c r="AB13" s="205"/>
      <c r="AC13" s="206"/>
      <c r="AD13" s="206"/>
      <c r="AF13" s="198"/>
      <c r="AG13" s="198"/>
      <c r="AM13" s="57"/>
      <c r="AN13" s="61"/>
      <c r="AT13" s="61"/>
      <c r="AU13" s="61"/>
      <c r="AV13" s="61"/>
      <c r="AW13" s="64"/>
      <c r="AX13" s="64"/>
      <c r="AY13" s="64"/>
      <c r="AZ13" s="64"/>
      <c r="BA13" s="64"/>
      <c r="BB13" s="64"/>
    </row>
    <row r="14" spans="1:257" s="24" customFormat="1">
      <c r="A14" s="387" t="s">
        <v>43</v>
      </c>
      <c r="B14" s="387"/>
      <c r="C14" s="387"/>
      <c r="D14" s="387"/>
      <c r="E14" s="387"/>
      <c r="F14" s="387"/>
      <c r="G14" s="400" t="s">
        <v>44</v>
      </c>
      <c r="H14" s="400"/>
      <c r="I14" s="322"/>
      <c r="J14" s="175"/>
      <c r="K14" s="175"/>
      <c r="L14" s="175"/>
      <c r="M14" s="175"/>
      <c r="N14" s="252"/>
      <c r="O14" s="252"/>
      <c r="P14" s="253"/>
      <c r="Q14" s="252"/>
      <c r="S14" s="341" t="s">
        <v>45</v>
      </c>
      <c r="T14" s="251"/>
      <c r="V14" s="252"/>
      <c r="W14" s="175"/>
      <c r="X14" s="175"/>
      <c r="Y14" s="175"/>
      <c r="Z14" s="175"/>
      <c r="AA14" s="243"/>
      <c r="AB14" s="205"/>
      <c r="AC14" s="206"/>
      <c r="AD14" s="206"/>
      <c r="AF14" s="198"/>
      <c r="AG14" s="198"/>
      <c r="AM14" s="57"/>
      <c r="AN14" s="61"/>
      <c r="AT14" s="61"/>
      <c r="AU14" s="61"/>
      <c r="AV14" s="61"/>
      <c r="AW14" s="64"/>
      <c r="AX14" s="64"/>
      <c r="AY14" s="64"/>
      <c r="AZ14" s="64"/>
      <c r="BA14" s="64"/>
      <c r="BB14" s="64"/>
    </row>
    <row r="15" spans="1:257" s="24" customFormat="1">
      <c r="A15" s="387" t="s">
        <v>43</v>
      </c>
      <c r="B15" s="387"/>
      <c r="C15" s="387"/>
      <c r="D15" s="387"/>
      <c r="E15" s="387"/>
      <c r="F15" s="387"/>
      <c r="G15" s="400" t="s">
        <v>46</v>
      </c>
      <c r="H15" s="400"/>
      <c r="I15" s="322"/>
      <c r="J15" s="175"/>
      <c r="K15" s="175"/>
      <c r="L15" s="175"/>
      <c r="M15" s="251"/>
      <c r="N15" s="252"/>
      <c r="O15" s="254"/>
      <c r="P15" s="252"/>
      <c r="Q15" s="175"/>
      <c r="R15" s="251"/>
      <c r="T15" s="341" t="s">
        <v>45</v>
      </c>
      <c r="V15" s="175"/>
      <c r="W15" s="252"/>
      <c r="X15" s="252"/>
      <c r="Y15" s="252"/>
      <c r="Z15" s="252"/>
      <c r="AA15" s="240"/>
      <c r="AB15" s="205"/>
      <c r="AC15" s="206"/>
      <c r="AD15" s="206"/>
      <c r="AF15" s="198"/>
      <c r="AG15" s="198"/>
      <c r="AM15" s="57"/>
      <c r="AN15" s="61"/>
      <c r="AT15" s="61"/>
      <c r="AU15" s="61"/>
      <c r="AV15" s="61"/>
      <c r="AW15" s="64"/>
      <c r="AX15" s="64"/>
      <c r="AY15" s="64"/>
      <c r="AZ15" s="64"/>
      <c r="BA15" s="64"/>
      <c r="BB15" s="64"/>
    </row>
    <row r="16" spans="1:257" s="24" customFormat="1" ht="13" thickBot="1">
      <c r="A16" s="386" t="s">
        <v>43</v>
      </c>
      <c r="B16" s="386"/>
      <c r="C16" s="386"/>
      <c r="D16" s="386"/>
      <c r="E16" s="386"/>
      <c r="F16" s="386"/>
      <c r="G16" s="416" t="s">
        <v>47</v>
      </c>
      <c r="H16" s="416"/>
      <c r="I16" s="322"/>
      <c r="J16" s="175"/>
      <c r="K16" s="175"/>
      <c r="L16" s="175"/>
      <c r="M16" s="251"/>
      <c r="N16" s="252"/>
      <c r="O16" s="254"/>
      <c r="P16" s="252"/>
      <c r="Q16" s="175"/>
      <c r="R16" s="251"/>
      <c r="T16" s="251"/>
      <c r="U16" s="341" t="s">
        <v>45</v>
      </c>
      <c r="V16" s="175"/>
      <c r="W16" s="252"/>
      <c r="X16" s="252"/>
      <c r="Y16" s="252"/>
      <c r="Z16" s="252"/>
      <c r="AA16" s="240"/>
      <c r="AB16" s="205"/>
      <c r="AC16" s="206"/>
      <c r="AD16" s="206"/>
      <c r="AF16" s="198"/>
      <c r="AG16" s="198"/>
      <c r="AM16" s="57"/>
      <c r="AN16" s="61"/>
      <c r="AT16" s="61"/>
      <c r="AU16" s="61"/>
      <c r="AV16" s="61"/>
      <c r="AW16" s="64"/>
      <c r="AX16" s="64"/>
      <c r="AY16" s="64"/>
      <c r="AZ16" s="64"/>
      <c r="BA16" s="64"/>
      <c r="BB16" s="64"/>
    </row>
    <row r="17" spans="1:54" s="24" customFormat="1">
      <c r="A17" s="394" t="s">
        <v>48</v>
      </c>
      <c r="B17" s="394"/>
      <c r="C17" s="394"/>
      <c r="D17" s="394"/>
      <c r="E17" s="394"/>
      <c r="F17" s="394"/>
      <c r="G17" s="398" t="s">
        <v>49</v>
      </c>
      <c r="H17" s="398"/>
      <c r="I17" s="322"/>
      <c r="J17" s="175"/>
      <c r="K17" s="175"/>
      <c r="L17" s="175"/>
      <c r="M17" s="251"/>
      <c r="N17" s="252"/>
      <c r="O17" s="254"/>
      <c r="P17" s="252"/>
      <c r="Q17" s="175"/>
      <c r="R17" s="341" t="s">
        <v>42</v>
      </c>
      <c r="S17" s="251"/>
      <c r="V17" s="175"/>
      <c r="W17" s="252"/>
      <c r="X17" s="252"/>
      <c r="Y17" s="252"/>
      <c r="Z17" s="252"/>
      <c r="AA17" s="240"/>
      <c r="AB17" s="205"/>
      <c r="AC17" s="206"/>
      <c r="AD17" s="206"/>
      <c r="AF17" s="198"/>
      <c r="AG17" s="198"/>
      <c r="AM17" s="57"/>
      <c r="AN17" s="61"/>
      <c r="AT17" s="61"/>
      <c r="AU17" s="61"/>
      <c r="AV17" s="61"/>
      <c r="AW17" s="64"/>
      <c r="AX17" s="64"/>
      <c r="AY17" s="64"/>
      <c r="AZ17" s="64"/>
      <c r="BA17" s="64"/>
      <c r="BB17" s="64"/>
    </row>
    <row r="18" spans="1:54" s="24" customFormat="1">
      <c r="A18" s="387" t="s">
        <v>48</v>
      </c>
      <c r="B18" s="387"/>
      <c r="C18" s="387"/>
      <c r="D18" s="387"/>
      <c r="E18" s="387"/>
      <c r="F18" s="387"/>
      <c r="G18" s="400" t="s">
        <v>50</v>
      </c>
      <c r="H18" s="400"/>
      <c r="I18" s="322"/>
      <c r="J18" s="175"/>
      <c r="K18" s="175"/>
      <c r="L18" s="175"/>
      <c r="M18" s="251"/>
      <c r="N18" s="252"/>
      <c r="O18" s="254"/>
      <c r="P18" s="252"/>
      <c r="Q18" s="175"/>
      <c r="R18" s="251"/>
      <c r="S18" s="341" t="s">
        <v>45</v>
      </c>
      <c r="T18" s="251"/>
      <c r="V18" s="175"/>
      <c r="W18" s="252"/>
      <c r="X18" s="252"/>
      <c r="Y18" s="252"/>
      <c r="Z18" s="252"/>
      <c r="AA18" s="240"/>
      <c r="AB18" s="205"/>
      <c r="AC18" s="206"/>
      <c r="AD18" s="206"/>
      <c r="AF18" s="198"/>
      <c r="AG18" s="198"/>
      <c r="AM18" s="57"/>
      <c r="AN18" s="61"/>
      <c r="AT18" s="61"/>
      <c r="AU18" s="61"/>
      <c r="AV18" s="61"/>
      <c r="AW18" s="64"/>
      <c r="AX18" s="64"/>
      <c r="AY18" s="64"/>
      <c r="AZ18" s="64"/>
      <c r="BA18" s="64"/>
      <c r="BB18" s="64"/>
    </row>
    <row r="19" spans="1:54" s="24" customFormat="1">
      <c r="A19" s="386" t="s">
        <v>48</v>
      </c>
      <c r="B19" s="386"/>
      <c r="C19" s="386"/>
      <c r="D19" s="386"/>
      <c r="E19" s="386"/>
      <c r="F19" s="386"/>
      <c r="G19" s="416" t="s">
        <v>51</v>
      </c>
      <c r="H19" s="416"/>
      <c r="I19" s="322"/>
      <c r="J19" s="175"/>
      <c r="K19" s="175"/>
      <c r="L19" s="175"/>
      <c r="M19" s="175"/>
      <c r="N19" s="175"/>
      <c r="O19" s="251"/>
      <c r="P19" s="251"/>
      <c r="Q19" s="251"/>
      <c r="R19" s="251"/>
      <c r="S19" s="251"/>
      <c r="T19" s="341" t="s">
        <v>45</v>
      </c>
      <c r="V19" s="251"/>
      <c r="W19" s="175"/>
      <c r="X19" s="175"/>
      <c r="Y19" s="175"/>
      <c r="Z19" s="175"/>
      <c r="AA19" s="243"/>
      <c r="AB19" s="205"/>
      <c r="AC19" s="204"/>
      <c r="AD19" s="206"/>
      <c r="AF19" s="198"/>
      <c r="AG19" s="198"/>
      <c r="AM19" s="57"/>
      <c r="AN19" s="61"/>
      <c r="AT19" s="61"/>
      <c r="AU19" s="61"/>
      <c r="AV19" s="61"/>
      <c r="AW19" s="64"/>
      <c r="AX19" s="64"/>
      <c r="AY19" s="64"/>
      <c r="AZ19" s="64"/>
      <c r="BA19" s="64"/>
      <c r="BB19" s="64"/>
    </row>
    <row r="20" spans="1:54" s="24" customFormat="1" ht="15.65" customHeight="1">
      <c r="A20" s="385" t="s">
        <v>52</v>
      </c>
      <c r="B20" s="385"/>
      <c r="C20" s="385"/>
      <c r="D20" s="385"/>
      <c r="E20" s="385"/>
      <c r="F20" s="385"/>
      <c r="G20" s="415" t="s">
        <v>53</v>
      </c>
      <c r="H20" s="415"/>
      <c r="I20" s="376" t="s">
        <v>54</v>
      </c>
      <c r="J20" s="376"/>
      <c r="K20" s="376"/>
      <c r="L20" s="376"/>
      <c r="M20" s="376"/>
      <c r="N20" s="376"/>
      <c r="O20" s="376"/>
      <c r="P20" s="376"/>
      <c r="Q20" s="376"/>
      <c r="R20" s="251"/>
      <c r="S20" s="251"/>
      <c r="AA20" s="255"/>
      <c r="AD20" s="206"/>
      <c r="AF20" s="198"/>
      <c r="AM20" s="67"/>
      <c r="AN20" s="67"/>
      <c r="AT20" s="67"/>
      <c r="AU20" s="67"/>
      <c r="AV20" s="67"/>
      <c r="AW20" s="67"/>
      <c r="AX20" s="67"/>
      <c r="AY20" s="67"/>
      <c r="AZ20" s="67"/>
      <c r="BA20" s="67"/>
      <c r="BB20" s="67"/>
    </row>
    <row r="21" spans="1:54" s="24" customFormat="1" ht="15.75" customHeight="1">
      <c r="A21" s="386" t="s">
        <v>55</v>
      </c>
      <c r="B21" s="386"/>
      <c r="C21" s="386"/>
      <c r="D21" s="386"/>
      <c r="E21" s="386"/>
      <c r="F21" s="386"/>
      <c r="G21" s="416" t="s">
        <v>56</v>
      </c>
      <c r="H21" s="416"/>
      <c r="I21" s="376" t="s">
        <v>57</v>
      </c>
      <c r="J21" s="376"/>
      <c r="K21" s="376"/>
      <c r="L21" s="376"/>
      <c r="M21" s="376"/>
      <c r="N21" s="376"/>
      <c r="O21" s="376"/>
      <c r="P21" s="376"/>
      <c r="Q21" s="376"/>
      <c r="R21" s="251"/>
      <c r="S21" s="251"/>
      <c r="T21" s="251"/>
      <c r="AA21" s="255"/>
      <c r="AB21" s="205"/>
      <c r="AC21" s="199"/>
      <c r="AD21" s="206"/>
      <c r="AF21" s="198"/>
      <c r="AM21" s="67"/>
      <c r="AN21" s="67"/>
      <c r="AT21" s="67"/>
      <c r="AU21" s="67"/>
      <c r="AV21" s="67"/>
      <c r="AW21" s="67"/>
      <c r="AX21" s="67"/>
      <c r="AY21" s="67"/>
      <c r="AZ21" s="67"/>
      <c r="BA21" s="67"/>
      <c r="BB21" s="67"/>
    </row>
    <row r="22" spans="1:54" s="24" customFormat="1" ht="15.65" customHeight="1">
      <c r="A22" s="408" t="s">
        <v>58</v>
      </c>
      <c r="B22" s="408"/>
      <c r="C22" s="408"/>
      <c r="D22" s="408"/>
      <c r="E22" s="408"/>
      <c r="F22" s="408"/>
      <c r="G22" s="409" t="str">
        <f t="shared" ref="G22:G33" si="0">AF170</f>
        <v>0.396 IPLV</v>
      </c>
      <c r="H22" s="409"/>
      <c r="I22" s="239"/>
      <c r="K22" s="251"/>
      <c r="L22" s="251"/>
      <c r="M22" s="251"/>
      <c r="N22" s="251"/>
      <c r="O22" s="251"/>
      <c r="P22" s="251"/>
      <c r="Q22" s="251"/>
      <c r="R22" s="251"/>
      <c r="S22" s="251"/>
      <c r="V22" s="382" t="s">
        <v>59</v>
      </c>
      <c r="W22" s="383"/>
      <c r="X22" s="251"/>
      <c r="Y22" s="251"/>
      <c r="Z22" s="251"/>
      <c r="AA22" s="241"/>
      <c r="AB22" s="205"/>
      <c r="AC22" s="199"/>
      <c r="AD22" s="199"/>
      <c r="AE22" s="207"/>
      <c r="AM22" s="67"/>
      <c r="AN22" s="67"/>
      <c r="AT22" s="67"/>
      <c r="AU22" s="67"/>
      <c r="AV22" s="67"/>
      <c r="AW22" s="67"/>
      <c r="AX22" s="67"/>
      <c r="AY22" s="67"/>
      <c r="AZ22" s="67"/>
      <c r="BA22" s="67"/>
      <c r="BB22" s="67"/>
    </row>
    <row r="23" spans="1:54" s="24" customFormat="1" ht="15.75" customHeight="1">
      <c r="A23" s="377" t="s">
        <v>58</v>
      </c>
      <c r="B23" s="377"/>
      <c r="C23" s="377"/>
      <c r="D23" s="377"/>
      <c r="E23" s="377"/>
      <c r="F23" s="377"/>
      <c r="G23" s="388" t="str">
        <f t="shared" si="0"/>
        <v>0.36 IPLV</v>
      </c>
      <c r="H23" s="388"/>
      <c r="I23" s="183"/>
      <c r="K23" s="251"/>
      <c r="L23" s="251"/>
      <c r="M23" s="251"/>
      <c r="N23" s="251"/>
      <c r="O23" s="251"/>
      <c r="P23" s="251"/>
      <c r="Q23" s="251"/>
      <c r="R23" s="251"/>
      <c r="S23" s="251"/>
      <c r="T23" s="251"/>
      <c r="V23" s="251"/>
      <c r="W23" s="251"/>
      <c r="X23" s="342" t="s">
        <v>59</v>
      </c>
      <c r="Y23" s="251"/>
      <c r="Z23" s="251"/>
      <c r="AA23" s="241"/>
      <c r="AB23" s="205"/>
      <c r="AE23" s="207"/>
      <c r="AM23" s="67"/>
      <c r="AN23" s="67"/>
      <c r="AT23" s="67"/>
      <c r="AU23" s="67"/>
      <c r="AV23" s="67"/>
      <c r="AW23" s="67"/>
      <c r="AX23" s="67"/>
      <c r="AY23" s="67"/>
      <c r="AZ23" s="67"/>
      <c r="BA23" s="67"/>
      <c r="BB23" s="67"/>
    </row>
    <row r="24" spans="1:54" s="24" customFormat="1" ht="15.75" customHeight="1">
      <c r="A24" s="377" t="s">
        <v>58</v>
      </c>
      <c r="B24" s="377"/>
      <c r="C24" s="377"/>
      <c r="D24" s="377"/>
      <c r="E24" s="377"/>
      <c r="F24" s="377"/>
      <c r="G24" s="388" t="str">
        <f t="shared" si="0"/>
        <v>0.351 IPLV</v>
      </c>
      <c r="H24" s="388"/>
      <c r="I24" s="183"/>
      <c r="K24" s="251"/>
      <c r="L24" s="182"/>
      <c r="M24" s="182"/>
      <c r="N24" s="182"/>
      <c r="O24" s="182"/>
      <c r="P24" s="182"/>
      <c r="Q24" s="182"/>
      <c r="R24" s="182"/>
      <c r="S24" s="182"/>
      <c r="T24" s="182"/>
      <c r="W24" s="175"/>
      <c r="X24" s="175"/>
      <c r="Y24" s="342" t="s">
        <v>59</v>
      </c>
      <c r="Z24" s="250"/>
      <c r="AA24" s="242"/>
      <c r="AB24" s="205"/>
      <c r="AE24" s="207"/>
      <c r="AM24" s="67"/>
      <c r="AN24" s="67"/>
      <c r="AT24" s="67"/>
      <c r="AU24" s="67"/>
      <c r="AV24" s="67"/>
      <c r="AW24" s="67"/>
      <c r="AX24" s="67"/>
      <c r="AY24" s="67"/>
      <c r="AZ24" s="67"/>
      <c r="BA24" s="67"/>
      <c r="BB24" s="67"/>
    </row>
    <row r="25" spans="1:54" s="24" customFormat="1" ht="13.5" customHeight="1">
      <c r="A25" s="377" t="s">
        <v>58</v>
      </c>
      <c r="B25" s="377"/>
      <c r="C25" s="377"/>
      <c r="D25" s="377"/>
      <c r="E25" s="377"/>
      <c r="F25" s="377"/>
      <c r="G25" s="388" t="str">
        <f t="shared" si="0"/>
        <v>0.342 IPLV</v>
      </c>
      <c r="H25" s="388"/>
      <c r="I25" s="183"/>
      <c r="K25" s="251"/>
      <c r="L25" s="182"/>
      <c r="M25" s="182"/>
      <c r="N25" s="182"/>
      <c r="O25" s="182"/>
      <c r="P25" s="182"/>
      <c r="Q25" s="182"/>
      <c r="R25" s="182"/>
      <c r="S25" s="182"/>
      <c r="T25" s="182"/>
      <c r="W25" s="175"/>
      <c r="X25" s="175"/>
      <c r="Y25" s="175"/>
      <c r="Z25" s="342" t="s">
        <v>59</v>
      </c>
      <c r="AA25" s="243"/>
      <c r="AB25" s="205"/>
      <c r="AM25" s="57"/>
      <c r="AN25" s="61"/>
      <c r="AT25" s="61"/>
      <c r="AU25" s="61"/>
      <c r="AV25" s="61"/>
      <c r="AW25" s="64"/>
      <c r="AX25" s="64"/>
      <c r="AY25" s="64"/>
      <c r="AZ25" s="64"/>
      <c r="BA25" s="64"/>
      <c r="BB25" s="64"/>
    </row>
    <row r="26" spans="1:54" s="24" customFormat="1" ht="12.75" customHeight="1">
      <c r="A26" s="377" t="s">
        <v>58</v>
      </c>
      <c r="B26" s="377"/>
      <c r="C26" s="377"/>
      <c r="D26" s="377"/>
      <c r="E26" s="377"/>
      <c r="F26" s="377"/>
      <c r="G26" s="388" t="str">
        <f t="shared" si="0"/>
        <v>0.342 IPLV</v>
      </c>
      <c r="H26" s="388"/>
      <c r="I26" s="183"/>
      <c r="K26" s="251"/>
      <c r="L26" s="182"/>
      <c r="M26" s="182"/>
      <c r="N26" s="182"/>
      <c r="O26" s="182"/>
      <c r="P26" s="182"/>
      <c r="Q26" s="182"/>
      <c r="R26" s="182"/>
      <c r="S26" s="182"/>
      <c r="T26" s="182"/>
      <c r="V26" s="250"/>
      <c r="W26" s="175"/>
      <c r="X26" s="175"/>
      <c r="Y26" s="175"/>
      <c r="Z26" s="175"/>
      <c r="AA26" s="342" t="s">
        <v>59</v>
      </c>
      <c r="AB26" s="205"/>
      <c r="AL26" s="57"/>
      <c r="AM26" s="57"/>
      <c r="AN26" s="61"/>
      <c r="AT26" s="61"/>
      <c r="AU26" s="61"/>
      <c r="AV26" s="61"/>
      <c r="AW26" s="64"/>
      <c r="AX26" s="64"/>
      <c r="AY26" s="64"/>
      <c r="AZ26" s="64"/>
      <c r="BA26" s="64"/>
    </row>
    <row r="27" spans="1:54" s="24" customFormat="1" ht="12.75" customHeight="1">
      <c r="A27" s="377" t="s">
        <v>60</v>
      </c>
      <c r="B27" s="377"/>
      <c r="C27" s="377"/>
      <c r="D27" s="377"/>
      <c r="E27" s="377"/>
      <c r="F27" s="377"/>
      <c r="G27" s="388" t="str">
        <f t="shared" si="0"/>
        <v>0.45 IPLV</v>
      </c>
      <c r="H27" s="388"/>
      <c r="I27" s="183"/>
      <c r="K27" s="251"/>
      <c r="L27" s="251"/>
      <c r="M27" s="251"/>
      <c r="N27" s="251"/>
      <c r="O27" s="251"/>
      <c r="P27" s="251"/>
      <c r="Q27" s="251"/>
      <c r="R27" s="251"/>
      <c r="S27" s="251"/>
      <c r="T27" s="251"/>
      <c r="V27" s="342" t="s">
        <v>59</v>
      </c>
      <c r="W27" s="251"/>
      <c r="Z27" s="251"/>
      <c r="AA27" s="241"/>
      <c r="AB27" s="205"/>
      <c r="AL27" s="57"/>
      <c r="AM27" s="57"/>
      <c r="AN27" s="61"/>
      <c r="AT27" s="61"/>
      <c r="AU27" s="69"/>
      <c r="AV27" s="70"/>
      <c r="AW27" s="64"/>
      <c r="AX27" s="64"/>
      <c r="AY27" s="64"/>
      <c r="AZ27" s="64"/>
      <c r="BA27" s="64"/>
    </row>
    <row r="28" spans="1:54" s="24" customFormat="1" ht="12.75" customHeight="1">
      <c r="A28" s="377" t="s">
        <v>60</v>
      </c>
      <c r="B28" s="377"/>
      <c r="C28" s="377"/>
      <c r="D28" s="377"/>
      <c r="E28" s="377"/>
      <c r="F28" s="377"/>
      <c r="G28" s="388" t="str">
        <f t="shared" si="0"/>
        <v>0.441 IPLV</v>
      </c>
      <c r="H28" s="388"/>
      <c r="I28" s="183"/>
      <c r="K28" s="251"/>
      <c r="L28" s="251"/>
      <c r="M28" s="251"/>
      <c r="N28" s="251"/>
      <c r="O28" s="251"/>
      <c r="P28" s="251"/>
      <c r="Q28" s="251"/>
      <c r="R28" s="251"/>
      <c r="S28" s="251"/>
      <c r="T28" s="251"/>
      <c r="W28" s="342" t="s">
        <v>59</v>
      </c>
      <c r="X28" s="175"/>
      <c r="Z28" s="250"/>
      <c r="AA28" s="242"/>
      <c r="AB28" s="205"/>
      <c r="AL28" s="57"/>
      <c r="AM28" s="57"/>
      <c r="AN28" s="61"/>
      <c r="AT28" s="61"/>
      <c r="AU28" s="69"/>
      <c r="AV28" s="64"/>
      <c r="AW28" s="57"/>
      <c r="AX28" s="57"/>
      <c r="AY28" s="64"/>
      <c r="AZ28" s="64"/>
      <c r="BA28" s="64"/>
    </row>
    <row r="29" spans="1:54" s="24" customFormat="1" ht="12.75" customHeight="1">
      <c r="A29" s="377" t="s">
        <v>60</v>
      </c>
      <c r="B29" s="377"/>
      <c r="C29" s="377"/>
      <c r="D29" s="377"/>
      <c r="E29" s="377"/>
      <c r="F29" s="377"/>
      <c r="G29" s="388" t="str">
        <f t="shared" si="0"/>
        <v>0.396 IPLV</v>
      </c>
      <c r="H29" s="388"/>
      <c r="I29" s="183"/>
      <c r="K29" s="251"/>
      <c r="L29" s="175"/>
      <c r="M29" s="175"/>
      <c r="N29" s="175"/>
      <c r="O29" s="175"/>
      <c r="P29" s="175"/>
      <c r="Q29" s="175"/>
      <c r="R29" s="175"/>
      <c r="S29" s="175"/>
      <c r="T29" s="175"/>
      <c r="V29" s="175"/>
      <c r="W29" s="175"/>
      <c r="X29" s="342" t="s">
        <v>59</v>
      </c>
      <c r="Y29" s="175"/>
      <c r="Z29" s="175"/>
      <c r="AA29" s="243"/>
      <c r="AB29" s="205"/>
      <c r="AL29" s="57"/>
      <c r="AM29" s="57"/>
      <c r="AN29" s="61"/>
      <c r="AT29" s="61"/>
      <c r="AU29" s="69"/>
      <c r="AV29" s="64"/>
      <c r="AW29" s="57"/>
      <c r="AX29" s="57"/>
      <c r="AY29" s="64"/>
      <c r="AZ29" s="64"/>
      <c r="BA29" s="64"/>
    </row>
    <row r="30" spans="1:54" s="24" customFormat="1" ht="12.75" customHeight="1">
      <c r="A30" s="377" t="s">
        <v>60</v>
      </c>
      <c r="B30" s="377"/>
      <c r="C30" s="377"/>
      <c r="D30" s="377"/>
      <c r="E30" s="377"/>
      <c r="F30" s="377"/>
      <c r="G30" s="388" t="str">
        <f t="shared" si="0"/>
        <v>0.369 IPLV</v>
      </c>
      <c r="H30" s="388"/>
      <c r="I30" s="183"/>
      <c r="K30" s="251"/>
      <c r="L30" s="175"/>
      <c r="M30" s="175"/>
      <c r="N30" s="175"/>
      <c r="O30" s="175"/>
      <c r="P30" s="175"/>
      <c r="Q30" s="175"/>
      <c r="R30" s="175"/>
      <c r="S30" s="175"/>
      <c r="T30" s="175"/>
      <c r="V30" s="175"/>
      <c r="W30" s="175"/>
      <c r="Y30" s="382" t="s">
        <v>59</v>
      </c>
      <c r="Z30" s="383"/>
      <c r="AA30" s="243"/>
      <c r="AB30" s="205"/>
      <c r="AC30" s="226" t="s">
        <v>61</v>
      </c>
      <c r="AD30" s="227" t="s">
        <v>62</v>
      </c>
      <c r="AE30" s="226" t="s">
        <v>63</v>
      </c>
      <c r="AF30" s="226" t="str">
        <f t="shared" ref="AF30:AF31" si="1">AP50</f>
        <v>Base</v>
      </c>
      <c r="AG30" s="226" t="s">
        <v>64</v>
      </c>
      <c r="AH30" s="226" t="s">
        <v>65</v>
      </c>
      <c r="AI30" s="226" t="s">
        <v>66</v>
      </c>
      <c r="AJ30" s="226" t="s">
        <v>67</v>
      </c>
      <c r="AK30" s="226" t="s">
        <v>68</v>
      </c>
      <c r="AL30" s="57"/>
      <c r="AM30" s="57"/>
      <c r="AN30" s="61"/>
      <c r="AT30" s="61"/>
      <c r="AU30" s="69"/>
      <c r="AV30" s="64"/>
      <c r="AW30" s="57"/>
      <c r="AX30" s="57"/>
      <c r="AY30" s="64"/>
      <c r="AZ30" s="64"/>
      <c r="BA30" s="64"/>
    </row>
    <row r="31" spans="1:54" s="24" customFormat="1" ht="12.75" customHeight="1">
      <c r="A31" s="377" t="s">
        <v>60</v>
      </c>
      <c r="B31" s="377"/>
      <c r="C31" s="377"/>
      <c r="D31" s="377"/>
      <c r="E31" s="377"/>
      <c r="F31" s="377"/>
      <c r="G31" s="388" t="str">
        <f t="shared" si="0"/>
        <v>0.342 IPLV</v>
      </c>
      <c r="H31" s="388"/>
      <c r="I31" s="183"/>
      <c r="K31" s="251"/>
      <c r="L31" s="175"/>
      <c r="M31" s="175"/>
      <c r="N31" s="175"/>
      <c r="O31" s="175"/>
      <c r="P31" s="175"/>
      <c r="Q31" s="175"/>
      <c r="R31" s="175"/>
      <c r="S31" s="175"/>
      <c r="T31" s="175"/>
      <c r="V31" s="175"/>
      <c r="W31" s="175"/>
      <c r="X31" s="175"/>
      <c r="Y31" s="175"/>
      <c r="Z31" s="175"/>
      <c r="AA31" s="342" t="s">
        <v>59</v>
      </c>
      <c r="AB31" s="205"/>
      <c r="AC31" s="228" t="e">
        <f t="shared" ref="AC31:AC48" si="2">Y51/Q51/W51</f>
        <v>#VALUE!</v>
      </c>
      <c r="AD31" s="229" t="str">
        <f t="shared" ref="AD31:AD48" si="3">IF(AS51&lt;&gt;"",IF(AK31&lt;&gt;Y51,Y51/Q51/W51,""),"")</f>
        <v/>
      </c>
      <c r="AE31" s="181" t="str">
        <f t="shared" ref="AE31:AE48" si="4">IF(A51="Add_Economizers","",IF(AB51="C",IF(AU51="Tier1",VLOOKUP(CONCATENATE(A51,G51),$AE$170:$AK$181,7,FALSE),VLOOKUP(CONCATENATE(A51,G51),$AE$170:$AM$181,9,FALSE)),IF(AJ51&lt;&gt;"",VLOOKUP(CONCATENATE(A51,AJ51),$AV$47:$AY$56,4,FALSE),"")))</f>
        <v/>
      </c>
      <c r="AF31" s="230" t="str">
        <f t="shared" si="1"/>
        <v xml:space="preserve"> </v>
      </c>
      <c r="AG31" s="226" t="e">
        <f t="shared" ref="AG31:AG48" si="5">AF31*Q51*W51</f>
        <v>#VALUE!</v>
      </c>
      <c r="AH31" s="249" t="e">
        <f t="shared" ref="AH31" si="6">IF(AB51="C",ABS(U51-AL51),ABS(AK51-U51))</f>
        <v>#N/A</v>
      </c>
      <c r="AI31" s="231" t="str">
        <f t="shared" ref="AI31" si="7">AQ51</f>
        <v xml:space="preserve"> </v>
      </c>
      <c r="AJ31" s="232" t="e">
        <f t="shared" ref="AJ31:AJ48" si="8">AI31*AH31*Q51*W51</f>
        <v>#VALUE!</v>
      </c>
      <c r="AK31" s="111" t="e">
        <f t="shared" ref="AK31" si="9">AJ31+AG31</f>
        <v>#VALUE!</v>
      </c>
      <c r="AL31" s="62"/>
      <c r="AM31" s="57"/>
      <c r="AN31" s="61"/>
      <c r="AT31" s="61"/>
      <c r="AU31" s="69"/>
      <c r="AV31" s="64"/>
      <c r="AW31" s="57"/>
      <c r="AX31" s="57"/>
      <c r="AY31" s="64"/>
      <c r="AZ31" s="64"/>
      <c r="BA31" s="64"/>
    </row>
    <row r="32" spans="1:54" s="24" customFormat="1" ht="12.75" customHeight="1">
      <c r="A32" s="377" t="s">
        <v>69</v>
      </c>
      <c r="B32" s="377"/>
      <c r="C32" s="377"/>
      <c r="D32" s="377"/>
      <c r="E32" s="377"/>
      <c r="F32" s="377"/>
      <c r="G32" s="388" t="str">
        <f t="shared" si="0"/>
        <v>0.796 IPLV</v>
      </c>
      <c r="H32" s="388"/>
      <c r="I32" s="183"/>
      <c r="K32" s="251"/>
      <c r="L32" s="175"/>
      <c r="M32" s="175"/>
      <c r="N32" s="175"/>
      <c r="O32" s="175"/>
      <c r="P32" s="175"/>
      <c r="Q32" s="175"/>
      <c r="R32" s="175"/>
      <c r="S32" s="175"/>
      <c r="T32" s="175"/>
      <c r="V32" s="410" t="s">
        <v>70</v>
      </c>
      <c r="W32" s="411"/>
      <c r="X32" s="175"/>
      <c r="Y32" s="175"/>
      <c r="Z32" s="175"/>
      <c r="AA32" s="243"/>
      <c r="AB32" s="205"/>
      <c r="AC32" s="228" t="e">
        <f t="shared" si="2"/>
        <v>#VALUE!</v>
      </c>
      <c r="AD32" s="229" t="str">
        <f t="shared" si="3"/>
        <v/>
      </c>
      <c r="AE32" s="181" t="str">
        <f t="shared" si="4"/>
        <v/>
      </c>
      <c r="AF32" s="230" t="str">
        <f t="shared" ref="AF32:AF48" si="10">AP52</f>
        <v xml:space="preserve"> </v>
      </c>
      <c r="AG32" s="226" t="e">
        <f t="shared" si="5"/>
        <v>#VALUE!</v>
      </c>
      <c r="AH32" s="249" t="e">
        <f t="shared" ref="AH32:AH48" si="11">IF(AB52="C",ABS(U52-AL52),ABS(AK52-U52))</f>
        <v>#N/A</v>
      </c>
      <c r="AI32" s="231" t="str">
        <f t="shared" ref="AI32:AI48" si="12">AQ52</f>
        <v xml:space="preserve"> </v>
      </c>
      <c r="AJ32" s="232" t="e">
        <f t="shared" si="8"/>
        <v>#VALUE!</v>
      </c>
      <c r="AK32" s="111" t="e">
        <f t="shared" ref="AK32:AK48" si="13">AJ32+AG32</f>
        <v>#VALUE!</v>
      </c>
      <c r="AL32" s="62"/>
      <c r="AM32" s="57"/>
      <c r="AN32" s="61"/>
      <c r="AT32" s="61"/>
      <c r="AU32" s="69"/>
      <c r="AV32" s="64"/>
      <c r="AW32" s="57"/>
      <c r="AX32" s="57"/>
      <c r="AY32" s="64"/>
      <c r="AZ32" s="64"/>
      <c r="BA32" s="64"/>
    </row>
    <row r="33" spans="1:58" s="24" customFormat="1" ht="12.75" customHeight="1">
      <c r="A33" s="407" t="s">
        <v>69</v>
      </c>
      <c r="B33" s="407"/>
      <c r="C33" s="407"/>
      <c r="D33" s="407"/>
      <c r="E33" s="407"/>
      <c r="F33" s="407"/>
      <c r="G33" s="406" t="str">
        <f t="shared" si="0"/>
        <v>0.779 IPLV</v>
      </c>
      <c r="H33" s="406"/>
      <c r="I33" s="183"/>
      <c r="K33" s="251"/>
      <c r="L33" s="175"/>
      <c r="M33" s="175"/>
      <c r="N33" s="175"/>
      <c r="O33" s="175"/>
      <c r="P33" s="175"/>
      <c r="Q33" s="175"/>
      <c r="R33" s="175"/>
      <c r="S33" s="175"/>
      <c r="T33" s="175"/>
      <c r="V33" s="175"/>
      <c r="X33" s="410" t="s">
        <v>70</v>
      </c>
      <c r="Y33" s="410"/>
      <c r="Z33" s="410"/>
      <c r="AA33" s="411"/>
      <c r="AC33" s="228" t="e">
        <f t="shared" si="2"/>
        <v>#VALUE!</v>
      </c>
      <c r="AD33" s="229" t="str">
        <f t="shared" si="3"/>
        <v/>
      </c>
      <c r="AE33" s="181" t="str">
        <f t="shared" si="4"/>
        <v/>
      </c>
      <c r="AF33" s="230" t="str">
        <f t="shared" si="10"/>
        <v xml:space="preserve"> </v>
      </c>
      <c r="AG33" s="226" t="e">
        <f t="shared" si="5"/>
        <v>#VALUE!</v>
      </c>
      <c r="AH33" s="249" t="e">
        <f t="shared" si="11"/>
        <v>#N/A</v>
      </c>
      <c r="AI33" s="231" t="str">
        <f t="shared" si="12"/>
        <v xml:space="preserve"> </v>
      </c>
      <c r="AJ33" s="232" t="e">
        <f t="shared" si="8"/>
        <v>#VALUE!</v>
      </c>
      <c r="AK33" s="111" t="e">
        <f t="shared" si="13"/>
        <v>#VALUE!</v>
      </c>
      <c r="AL33" s="62"/>
      <c r="AM33" s="57"/>
      <c r="AN33" s="61"/>
      <c r="AT33" s="61"/>
      <c r="AU33" s="69"/>
      <c r="AV33" s="64"/>
      <c r="AW33" s="57"/>
      <c r="AX33" s="57"/>
      <c r="AY33" s="64"/>
      <c r="AZ33" s="64"/>
      <c r="BA33" s="64"/>
    </row>
    <row r="34" spans="1:58" s="24" customFormat="1" ht="23.25" customHeight="1">
      <c r="A34" s="408" t="s">
        <v>71</v>
      </c>
      <c r="B34" s="408"/>
      <c r="C34" s="408"/>
      <c r="D34" s="408"/>
      <c r="E34" s="408"/>
      <c r="F34" s="408"/>
      <c r="G34" s="409" t="s">
        <v>72</v>
      </c>
      <c r="H34" s="409"/>
      <c r="I34" s="244"/>
      <c r="J34" s="245"/>
      <c r="K34" s="245"/>
      <c r="L34" s="245"/>
      <c r="M34" s="245"/>
      <c r="N34" s="323" t="s">
        <v>73</v>
      </c>
      <c r="O34" s="246"/>
      <c r="P34" s="323" t="s">
        <v>73</v>
      </c>
      <c r="Q34" s="323" t="s">
        <v>73</v>
      </c>
      <c r="R34" s="245"/>
      <c r="S34" s="245"/>
      <c r="T34" s="245"/>
      <c r="U34" s="247"/>
      <c r="V34" s="245"/>
      <c r="W34" s="245"/>
      <c r="X34" s="245"/>
      <c r="Y34" s="245"/>
      <c r="Z34" s="245"/>
      <c r="AA34" s="248"/>
      <c r="AC34" s="228" t="e">
        <f t="shared" si="2"/>
        <v>#VALUE!</v>
      </c>
      <c r="AD34" s="229" t="str">
        <f t="shared" si="3"/>
        <v/>
      </c>
      <c r="AE34" s="181" t="str">
        <f t="shared" si="4"/>
        <v/>
      </c>
      <c r="AF34" s="230" t="str">
        <f t="shared" si="10"/>
        <v xml:space="preserve"> </v>
      </c>
      <c r="AG34" s="226" t="e">
        <f t="shared" si="5"/>
        <v>#VALUE!</v>
      </c>
      <c r="AH34" s="249" t="e">
        <f t="shared" si="11"/>
        <v>#N/A</v>
      </c>
      <c r="AI34" s="231" t="str">
        <f t="shared" si="12"/>
        <v xml:space="preserve"> </v>
      </c>
      <c r="AJ34" s="232" t="e">
        <f t="shared" si="8"/>
        <v>#VALUE!</v>
      </c>
      <c r="AK34" s="111" t="e">
        <f t="shared" si="13"/>
        <v>#VALUE!</v>
      </c>
      <c r="AL34" s="50"/>
      <c r="AM34" s="57"/>
      <c r="AN34" s="61"/>
      <c r="AT34" s="61"/>
      <c r="AU34" s="69"/>
      <c r="AV34" s="64"/>
      <c r="AW34" s="57"/>
      <c r="AX34" s="57"/>
      <c r="AY34" s="64"/>
      <c r="AZ34" s="64"/>
      <c r="BA34" s="64"/>
    </row>
    <row r="35" spans="1:58" s="24" customFormat="1" ht="12.75" customHeight="1">
      <c r="A35" s="114"/>
      <c r="B35" s="114"/>
      <c r="C35" s="114"/>
      <c r="D35" s="114"/>
      <c r="E35" s="114"/>
      <c r="F35" s="114"/>
      <c r="G35" s="324"/>
      <c r="H35" s="324"/>
      <c r="I35" s="325"/>
      <c r="J35" s="325"/>
      <c r="K35" s="325"/>
      <c r="L35" s="325"/>
      <c r="M35" s="325"/>
      <c r="N35" s="325"/>
      <c r="O35" s="325"/>
      <c r="P35" s="325"/>
      <c r="Q35" s="325"/>
      <c r="R35" s="325"/>
      <c r="S35" s="325"/>
      <c r="T35" s="325"/>
      <c r="U35" s="325"/>
      <c r="V35" s="325"/>
      <c r="W35" s="325"/>
      <c r="X35" s="325"/>
      <c r="Y35" s="325"/>
      <c r="Z35" s="325"/>
      <c r="AA35" s="326"/>
      <c r="AC35" s="228" t="e">
        <f t="shared" si="2"/>
        <v>#VALUE!</v>
      </c>
      <c r="AD35" s="229" t="str">
        <f t="shared" si="3"/>
        <v/>
      </c>
      <c r="AE35" s="181" t="str">
        <f t="shared" si="4"/>
        <v/>
      </c>
      <c r="AF35" s="230" t="str">
        <f t="shared" si="10"/>
        <v xml:space="preserve"> </v>
      </c>
      <c r="AG35" s="226" t="e">
        <f t="shared" si="5"/>
        <v>#VALUE!</v>
      </c>
      <c r="AH35" s="249" t="e">
        <f t="shared" si="11"/>
        <v>#N/A</v>
      </c>
      <c r="AI35" s="231" t="str">
        <f t="shared" si="12"/>
        <v xml:space="preserve"> </v>
      </c>
      <c r="AJ35" s="232" t="e">
        <f t="shared" si="8"/>
        <v>#VALUE!</v>
      </c>
      <c r="AK35" s="111" t="e">
        <f t="shared" si="13"/>
        <v>#VALUE!</v>
      </c>
      <c r="AL35" s="65"/>
      <c r="AM35" s="57"/>
      <c r="AN35" s="61"/>
      <c r="AT35" s="61"/>
      <c r="AU35" s="69"/>
      <c r="AV35" s="64"/>
      <c r="AW35" s="57"/>
      <c r="AX35" s="57"/>
      <c r="AY35" s="64"/>
      <c r="AZ35" s="64"/>
      <c r="BA35" s="64"/>
    </row>
    <row r="36" spans="1:58" s="24" customFormat="1" ht="12.75" customHeight="1">
      <c r="A36" s="377" t="s">
        <v>74</v>
      </c>
      <c r="B36" s="377"/>
      <c r="C36" s="377"/>
      <c r="D36" s="377"/>
      <c r="E36" s="377"/>
      <c r="F36" s="377"/>
      <c r="G36" s="378" t="s">
        <v>75</v>
      </c>
      <c r="H36" s="378"/>
      <c r="I36" s="378"/>
      <c r="J36" s="378"/>
      <c r="K36" s="37"/>
      <c r="L36" s="37"/>
      <c r="M36" s="37"/>
      <c r="N36" s="37"/>
      <c r="O36" s="37"/>
      <c r="P36" s="37"/>
      <c r="Q36" s="384" t="s">
        <v>76</v>
      </c>
      <c r="R36" s="384"/>
      <c r="S36" s="384"/>
      <c r="T36" s="384"/>
      <c r="U36" s="384"/>
      <c r="V36" s="384"/>
      <c r="W36" s="384"/>
      <c r="X36" s="384"/>
      <c r="Y36" s="384"/>
      <c r="Z36" s="384"/>
      <c r="AA36" s="384"/>
      <c r="AC36" s="228" t="e">
        <f t="shared" si="2"/>
        <v>#VALUE!</v>
      </c>
      <c r="AD36" s="229" t="str">
        <f t="shared" si="3"/>
        <v/>
      </c>
      <c r="AE36" s="181" t="str">
        <f t="shared" si="4"/>
        <v/>
      </c>
      <c r="AF36" s="230" t="str">
        <f t="shared" si="10"/>
        <v xml:space="preserve"> </v>
      </c>
      <c r="AG36" s="226" t="e">
        <f t="shared" si="5"/>
        <v>#VALUE!</v>
      </c>
      <c r="AH36" s="249" t="e">
        <f t="shared" si="11"/>
        <v>#N/A</v>
      </c>
      <c r="AI36" s="231" t="str">
        <f t="shared" si="12"/>
        <v xml:space="preserve"> </v>
      </c>
      <c r="AJ36" s="232" t="e">
        <f t="shared" si="8"/>
        <v>#VALUE!</v>
      </c>
      <c r="AK36" s="111" t="e">
        <f t="shared" si="13"/>
        <v>#VALUE!</v>
      </c>
      <c r="AL36" s="66"/>
      <c r="AM36" s="57"/>
      <c r="AN36" s="61"/>
      <c r="AT36" s="61"/>
      <c r="AU36" s="69"/>
      <c r="AV36" s="64"/>
      <c r="AW36" s="57"/>
      <c r="AX36" s="57"/>
      <c r="AY36" s="64"/>
      <c r="AZ36" s="64"/>
      <c r="BA36" s="64"/>
    </row>
    <row r="37" spans="1:58" s="24" customFormat="1" ht="12.75" customHeight="1">
      <c r="A37" s="377" t="s">
        <v>77</v>
      </c>
      <c r="B37" s="377"/>
      <c r="C37" s="377"/>
      <c r="D37" s="377"/>
      <c r="E37" s="377"/>
      <c r="F37" s="377"/>
      <c r="G37" s="378" t="s">
        <v>78</v>
      </c>
      <c r="H37" s="378"/>
      <c r="I37" s="378"/>
      <c r="J37" s="378"/>
      <c r="K37" s="37"/>
      <c r="L37" s="37"/>
      <c r="M37" s="37"/>
      <c r="N37" s="37"/>
      <c r="O37" s="37"/>
      <c r="P37" s="37"/>
      <c r="Q37" s="384" t="s">
        <v>79</v>
      </c>
      <c r="R37" s="384"/>
      <c r="S37" s="384"/>
      <c r="T37" s="384"/>
      <c r="U37" s="384"/>
      <c r="V37" s="384"/>
      <c r="W37" s="384"/>
      <c r="X37" s="384"/>
      <c r="Y37" s="384"/>
      <c r="Z37" s="384"/>
      <c r="AA37" s="384"/>
      <c r="AB37" s="208"/>
      <c r="AC37" s="228" t="e">
        <f t="shared" si="2"/>
        <v>#VALUE!</v>
      </c>
      <c r="AD37" s="229" t="str">
        <f t="shared" si="3"/>
        <v/>
      </c>
      <c r="AE37" s="181" t="str">
        <f t="shared" si="4"/>
        <v/>
      </c>
      <c r="AF37" s="230" t="str">
        <f t="shared" si="10"/>
        <v xml:space="preserve"> </v>
      </c>
      <c r="AG37" s="226" t="e">
        <f t="shared" si="5"/>
        <v>#VALUE!</v>
      </c>
      <c r="AH37" s="249" t="e">
        <f t="shared" si="11"/>
        <v>#N/A</v>
      </c>
      <c r="AI37" s="231" t="str">
        <f t="shared" si="12"/>
        <v xml:space="preserve"> </v>
      </c>
      <c r="AJ37" s="232" t="e">
        <f t="shared" si="8"/>
        <v>#VALUE!</v>
      </c>
      <c r="AK37" s="111" t="e">
        <f t="shared" si="13"/>
        <v>#VALUE!</v>
      </c>
      <c r="AL37" s="66"/>
      <c r="AM37" s="57"/>
      <c r="AN37" s="61"/>
      <c r="AT37" s="61"/>
      <c r="AU37" s="69"/>
      <c r="AV37" s="64"/>
      <c r="AW37" s="57"/>
      <c r="AX37" s="57"/>
      <c r="AY37" s="64"/>
      <c r="AZ37" s="64"/>
      <c r="BA37" s="64"/>
    </row>
    <row r="38" spans="1:58" s="24" customFormat="1">
      <c r="A38" s="377" t="s">
        <v>80</v>
      </c>
      <c r="B38" s="377"/>
      <c r="C38" s="377"/>
      <c r="D38" s="377"/>
      <c r="E38" s="377"/>
      <c r="F38" s="377"/>
      <c r="G38" s="378" t="s">
        <v>81</v>
      </c>
      <c r="H38" s="378"/>
      <c r="I38" s="378"/>
      <c r="J38" s="378"/>
      <c r="K38" s="37"/>
      <c r="L38" s="37"/>
      <c r="M38" s="37"/>
      <c r="N38" s="37"/>
      <c r="O38" s="37"/>
      <c r="P38" s="37"/>
      <c r="Q38" s="384" t="s">
        <v>82</v>
      </c>
      <c r="R38" s="384"/>
      <c r="S38" s="384"/>
      <c r="T38" s="384"/>
      <c r="U38" s="384"/>
      <c r="V38" s="384"/>
      <c r="W38" s="384"/>
      <c r="X38" s="384"/>
      <c r="Y38" s="384"/>
      <c r="Z38" s="384"/>
      <c r="AA38" s="384"/>
      <c r="AC38" s="228" t="e">
        <f t="shared" si="2"/>
        <v>#VALUE!</v>
      </c>
      <c r="AD38" s="229" t="str">
        <f t="shared" si="3"/>
        <v/>
      </c>
      <c r="AE38" s="181" t="str">
        <f t="shared" si="4"/>
        <v/>
      </c>
      <c r="AF38" s="230" t="str">
        <f t="shared" si="10"/>
        <v xml:space="preserve"> </v>
      </c>
      <c r="AG38" s="226" t="e">
        <f t="shared" si="5"/>
        <v>#VALUE!</v>
      </c>
      <c r="AH38" s="249" t="e">
        <f t="shared" si="11"/>
        <v>#N/A</v>
      </c>
      <c r="AI38" s="231" t="str">
        <f t="shared" si="12"/>
        <v xml:space="preserve"> </v>
      </c>
      <c r="AJ38" s="232" t="e">
        <f t="shared" si="8"/>
        <v>#VALUE!</v>
      </c>
      <c r="AK38" s="111" t="e">
        <f t="shared" si="13"/>
        <v>#VALUE!</v>
      </c>
      <c r="AM38" s="57"/>
      <c r="AN38" s="61"/>
      <c r="AT38" s="61"/>
      <c r="AU38" s="69"/>
      <c r="AV38" s="57"/>
      <c r="AW38" s="57"/>
      <c r="AX38" s="57"/>
      <c r="AY38" s="57"/>
      <c r="AZ38" s="57"/>
      <c r="BA38" s="57"/>
    </row>
    <row r="39" spans="1:58" s="24" customFormat="1" ht="12.75" customHeight="1">
      <c r="A39" s="377" t="s">
        <v>83</v>
      </c>
      <c r="B39" s="377"/>
      <c r="C39" s="377"/>
      <c r="D39" s="377"/>
      <c r="E39" s="377"/>
      <c r="F39" s="377"/>
      <c r="G39" s="378" t="s">
        <v>84</v>
      </c>
      <c r="H39" s="378"/>
      <c r="I39" s="378"/>
      <c r="J39" s="378"/>
      <c r="K39" s="37"/>
      <c r="L39" s="37"/>
      <c r="M39" s="37"/>
      <c r="N39" s="37"/>
      <c r="O39" s="37"/>
      <c r="P39" s="37"/>
      <c r="Q39" s="384" t="s">
        <v>85</v>
      </c>
      <c r="R39" s="384"/>
      <c r="S39" s="384"/>
      <c r="T39" s="384"/>
      <c r="U39" s="384"/>
      <c r="V39" s="384"/>
      <c r="W39" s="384"/>
      <c r="X39" s="384"/>
      <c r="Y39" s="384"/>
      <c r="Z39" s="384"/>
      <c r="AA39" s="384"/>
      <c r="AC39" s="228" t="e">
        <f t="shared" si="2"/>
        <v>#VALUE!</v>
      </c>
      <c r="AD39" s="229" t="str">
        <f t="shared" si="3"/>
        <v/>
      </c>
      <c r="AE39" s="181" t="str">
        <f t="shared" si="4"/>
        <v/>
      </c>
      <c r="AF39" s="230" t="str">
        <f t="shared" si="10"/>
        <v xml:space="preserve"> </v>
      </c>
      <c r="AG39" s="226" t="e">
        <f t="shared" si="5"/>
        <v>#VALUE!</v>
      </c>
      <c r="AH39" s="249" t="e">
        <f t="shared" si="11"/>
        <v>#N/A</v>
      </c>
      <c r="AI39" s="231" t="str">
        <f t="shared" si="12"/>
        <v xml:space="preserve"> </v>
      </c>
      <c r="AJ39" s="232" t="e">
        <f t="shared" si="8"/>
        <v>#VALUE!</v>
      </c>
      <c r="AK39" s="111" t="e">
        <f t="shared" si="13"/>
        <v>#VALUE!</v>
      </c>
      <c r="AM39" s="57"/>
      <c r="AN39" s="61"/>
      <c r="AT39" s="61"/>
      <c r="AU39" s="68"/>
      <c r="AV39" s="57"/>
      <c r="AW39" s="61"/>
      <c r="AX39" s="56"/>
      <c r="AY39" s="57"/>
      <c r="AZ39" s="57"/>
      <c r="BA39" s="57"/>
    </row>
    <row r="40" spans="1:58" s="24" customFormat="1" ht="12.75" customHeight="1">
      <c r="A40" s="377" t="s">
        <v>86</v>
      </c>
      <c r="B40" s="377"/>
      <c r="C40" s="377"/>
      <c r="D40" s="377"/>
      <c r="E40" s="377"/>
      <c r="F40" s="377"/>
      <c r="G40" s="378" t="s">
        <v>87</v>
      </c>
      <c r="H40" s="378"/>
      <c r="I40" s="378"/>
      <c r="J40" s="378"/>
      <c r="K40" s="37"/>
      <c r="L40" s="37"/>
      <c r="M40" s="37"/>
      <c r="N40" s="37"/>
      <c r="O40" s="37"/>
      <c r="P40" s="37"/>
      <c r="Q40" s="384"/>
      <c r="R40" s="384"/>
      <c r="S40" s="384"/>
      <c r="T40" s="384"/>
      <c r="U40" s="384"/>
      <c r="V40" s="384"/>
      <c r="W40" s="384"/>
      <c r="X40" s="384"/>
      <c r="Y40" s="384"/>
      <c r="Z40" s="384"/>
      <c r="AA40" s="384"/>
      <c r="AC40" s="228" t="e">
        <f t="shared" si="2"/>
        <v>#VALUE!</v>
      </c>
      <c r="AD40" s="229" t="str">
        <f t="shared" si="3"/>
        <v/>
      </c>
      <c r="AE40" s="181" t="str">
        <f t="shared" si="4"/>
        <v/>
      </c>
      <c r="AF40" s="230" t="str">
        <f t="shared" si="10"/>
        <v xml:space="preserve"> </v>
      </c>
      <c r="AG40" s="226" t="e">
        <f t="shared" si="5"/>
        <v>#VALUE!</v>
      </c>
      <c r="AH40" s="249" t="e">
        <f t="shared" si="11"/>
        <v>#N/A</v>
      </c>
      <c r="AI40" s="231" t="str">
        <f t="shared" si="12"/>
        <v xml:space="preserve"> </v>
      </c>
      <c r="AJ40" s="232" t="e">
        <f t="shared" si="8"/>
        <v>#VALUE!</v>
      </c>
      <c r="AK40" s="111" t="e">
        <f t="shared" si="13"/>
        <v>#VALUE!</v>
      </c>
      <c r="AM40" s="57"/>
      <c r="AN40" s="61"/>
      <c r="AT40" s="61"/>
      <c r="AU40" s="68"/>
      <c r="AV40" s="57"/>
      <c r="AW40" s="61"/>
      <c r="AX40" s="56"/>
      <c r="AY40" s="57"/>
      <c r="AZ40" s="57"/>
      <c r="BA40" s="57"/>
    </row>
    <row r="41" spans="1:58" s="24" customFormat="1" ht="12.75" customHeight="1">
      <c r="A41" s="377" t="s">
        <v>88</v>
      </c>
      <c r="B41" s="377"/>
      <c r="C41" s="377"/>
      <c r="D41" s="377"/>
      <c r="E41" s="377"/>
      <c r="F41" s="377"/>
      <c r="G41" s="378" t="s">
        <v>89</v>
      </c>
      <c r="H41" s="378"/>
      <c r="I41" s="378"/>
      <c r="J41" s="378"/>
      <c r="K41" s="325"/>
      <c r="L41" s="325"/>
      <c r="M41" s="325"/>
      <c r="N41" s="37"/>
      <c r="O41" s="37"/>
      <c r="P41" s="325"/>
      <c r="Q41" s="384"/>
      <c r="R41" s="384"/>
      <c r="S41" s="384"/>
      <c r="T41" s="384"/>
      <c r="U41" s="384"/>
      <c r="V41" s="384"/>
      <c r="W41" s="384"/>
      <c r="X41" s="384"/>
      <c r="Y41" s="384"/>
      <c r="Z41" s="384"/>
      <c r="AA41" s="384"/>
      <c r="AC41" s="228" t="e">
        <f t="shared" si="2"/>
        <v>#VALUE!</v>
      </c>
      <c r="AD41" s="229" t="str">
        <f t="shared" si="3"/>
        <v/>
      </c>
      <c r="AE41" s="181" t="str">
        <f t="shared" si="4"/>
        <v/>
      </c>
      <c r="AF41" s="230" t="str">
        <f t="shared" si="10"/>
        <v xml:space="preserve"> </v>
      </c>
      <c r="AG41" s="226" t="e">
        <f t="shared" si="5"/>
        <v>#VALUE!</v>
      </c>
      <c r="AH41" s="249" t="e">
        <f t="shared" si="11"/>
        <v>#N/A</v>
      </c>
      <c r="AI41" s="231" t="str">
        <f t="shared" si="12"/>
        <v xml:space="preserve"> </v>
      </c>
      <c r="AJ41" s="232" t="e">
        <f t="shared" si="8"/>
        <v>#VALUE!</v>
      </c>
      <c r="AK41" s="111" t="e">
        <f t="shared" si="13"/>
        <v>#VALUE!</v>
      </c>
      <c r="AM41" s="57"/>
      <c r="AN41" s="61"/>
      <c r="AT41" s="72"/>
      <c r="AU41" s="72"/>
      <c r="AV41" s="72"/>
      <c r="AX41" s="73"/>
      <c r="AY41" s="57"/>
      <c r="AZ41" s="57"/>
      <c r="BA41" s="57"/>
    </row>
    <row r="42" spans="1:58" s="24" customFormat="1" ht="12.75" customHeight="1">
      <c r="A42" s="377" t="s">
        <v>90</v>
      </c>
      <c r="B42" s="377"/>
      <c r="C42" s="377"/>
      <c r="D42" s="377"/>
      <c r="E42" s="377"/>
      <c r="F42" s="377"/>
      <c r="G42" s="378" t="s">
        <v>91</v>
      </c>
      <c r="H42" s="378"/>
      <c r="I42" s="378"/>
      <c r="J42" s="378"/>
      <c r="K42" s="325"/>
      <c r="L42" s="325"/>
      <c r="M42" s="325"/>
      <c r="N42" s="325"/>
      <c r="O42" s="325"/>
      <c r="P42" s="325"/>
      <c r="Q42" s="325"/>
      <c r="R42" s="325"/>
      <c r="S42" s="325"/>
      <c r="T42" s="325"/>
      <c r="U42" s="325"/>
      <c r="V42" s="325"/>
      <c r="W42" s="325"/>
      <c r="X42" s="325"/>
      <c r="Y42" s="325"/>
      <c r="Z42" s="325"/>
      <c r="AA42" s="326"/>
      <c r="AC42" s="228" t="e">
        <f t="shared" si="2"/>
        <v>#VALUE!</v>
      </c>
      <c r="AD42" s="229" t="str">
        <f t="shared" si="3"/>
        <v/>
      </c>
      <c r="AE42" s="181" t="str">
        <f t="shared" si="4"/>
        <v/>
      </c>
      <c r="AF42" s="230" t="str">
        <f t="shared" si="10"/>
        <v xml:space="preserve"> </v>
      </c>
      <c r="AG42" s="226" t="e">
        <f t="shared" si="5"/>
        <v>#VALUE!</v>
      </c>
      <c r="AH42" s="249" t="e">
        <f t="shared" si="11"/>
        <v>#N/A</v>
      </c>
      <c r="AI42" s="231" t="str">
        <f t="shared" si="12"/>
        <v xml:space="preserve"> </v>
      </c>
      <c r="AJ42" s="232" t="e">
        <f t="shared" si="8"/>
        <v>#VALUE!</v>
      </c>
      <c r="AK42" s="111" t="e">
        <f t="shared" si="13"/>
        <v>#VALUE!</v>
      </c>
      <c r="AM42" s="57"/>
      <c r="AN42" s="61"/>
      <c r="AV42" s="169"/>
      <c r="AX42" s="170"/>
      <c r="AY42" s="57"/>
      <c r="AZ42" s="57"/>
      <c r="BA42" s="57"/>
    </row>
    <row r="43" spans="1:58" s="24" customFormat="1" ht="12.75" customHeight="1">
      <c r="A43" s="325"/>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6"/>
      <c r="AC43" s="228" t="e">
        <f t="shared" si="2"/>
        <v>#VALUE!</v>
      </c>
      <c r="AD43" s="229" t="str">
        <f t="shared" si="3"/>
        <v/>
      </c>
      <c r="AE43" s="181" t="str">
        <f t="shared" si="4"/>
        <v/>
      </c>
      <c r="AF43" s="230" t="str">
        <f t="shared" si="10"/>
        <v xml:space="preserve"> </v>
      </c>
      <c r="AG43" s="226" t="e">
        <f t="shared" si="5"/>
        <v>#VALUE!</v>
      </c>
      <c r="AH43" s="249" t="e">
        <f t="shared" si="11"/>
        <v>#N/A</v>
      </c>
      <c r="AI43" s="231" t="str">
        <f t="shared" si="12"/>
        <v xml:space="preserve"> </v>
      </c>
      <c r="AJ43" s="232" t="e">
        <f t="shared" si="8"/>
        <v>#VALUE!</v>
      </c>
      <c r="AK43" s="111" t="e">
        <f t="shared" si="13"/>
        <v>#VALUE!</v>
      </c>
      <c r="AM43" s="57"/>
      <c r="AN43" s="61"/>
      <c r="AX43" s="168"/>
      <c r="AY43" s="57"/>
      <c r="AZ43" s="57"/>
      <c r="BA43" s="57"/>
    </row>
    <row r="44" spans="1:58" s="24" customFormat="1" ht="12.75" customHeight="1">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22"/>
      <c r="AC44" s="228" t="e">
        <f t="shared" si="2"/>
        <v>#VALUE!</v>
      </c>
      <c r="AD44" s="229" t="str">
        <f t="shared" si="3"/>
        <v/>
      </c>
      <c r="AE44" s="181" t="str">
        <f t="shared" si="4"/>
        <v/>
      </c>
      <c r="AF44" s="230" t="str">
        <f t="shared" si="10"/>
        <v xml:space="preserve"> </v>
      </c>
      <c r="AG44" s="226" t="e">
        <f t="shared" si="5"/>
        <v>#VALUE!</v>
      </c>
      <c r="AH44" s="249" t="e">
        <f t="shared" si="11"/>
        <v>#N/A</v>
      </c>
      <c r="AI44" s="231" t="str">
        <f t="shared" si="12"/>
        <v xml:space="preserve"> </v>
      </c>
      <c r="AJ44" s="232" t="e">
        <f t="shared" si="8"/>
        <v>#VALUE!</v>
      </c>
      <c r="AK44" s="111" t="e">
        <f t="shared" si="13"/>
        <v>#VALUE!</v>
      </c>
      <c r="AM44" s="57"/>
      <c r="AN44" s="61"/>
      <c r="AV44" s="167"/>
      <c r="AX44" s="168"/>
      <c r="AY44" s="57"/>
      <c r="AZ44" s="57"/>
      <c r="BA44" s="57"/>
    </row>
    <row r="45" spans="1:58" s="24" customFormat="1" ht="12.75" customHeight="1">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22"/>
      <c r="AC45" s="228" t="e">
        <f t="shared" si="2"/>
        <v>#VALUE!</v>
      </c>
      <c r="AD45" s="229" t="str">
        <f t="shared" si="3"/>
        <v/>
      </c>
      <c r="AE45" s="181" t="str">
        <f t="shared" si="4"/>
        <v/>
      </c>
      <c r="AF45" s="230" t="str">
        <f t="shared" si="10"/>
        <v xml:space="preserve"> </v>
      </c>
      <c r="AG45" s="226" t="e">
        <f t="shared" si="5"/>
        <v>#VALUE!</v>
      </c>
      <c r="AH45" s="249" t="e">
        <f t="shared" si="11"/>
        <v>#N/A</v>
      </c>
      <c r="AI45" s="231" t="str">
        <f t="shared" si="12"/>
        <v xml:space="preserve"> </v>
      </c>
      <c r="AJ45" s="232" t="e">
        <f t="shared" si="8"/>
        <v>#VALUE!</v>
      </c>
      <c r="AK45" s="111" t="e">
        <f t="shared" si="13"/>
        <v>#VALUE!</v>
      </c>
      <c r="AM45" s="57"/>
      <c r="AN45" s="61"/>
      <c r="AV45" s="167"/>
      <c r="AX45" s="168"/>
      <c r="AY45" s="57" t="s">
        <v>92</v>
      </c>
      <c r="AZ45" s="57"/>
      <c r="BA45" s="57"/>
    </row>
    <row r="46" spans="1:58" s="24" customFormat="1" ht="12.75" customHeight="1">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22"/>
      <c r="AC46" s="228" t="e">
        <f t="shared" si="2"/>
        <v>#VALUE!</v>
      </c>
      <c r="AD46" s="229" t="str">
        <f t="shared" si="3"/>
        <v/>
      </c>
      <c r="AE46" s="181" t="str">
        <f t="shared" si="4"/>
        <v/>
      </c>
      <c r="AF46" s="230" t="str">
        <f t="shared" si="10"/>
        <v xml:space="preserve"> </v>
      </c>
      <c r="AG46" s="226" t="e">
        <f t="shared" si="5"/>
        <v>#VALUE!</v>
      </c>
      <c r="AH46" s="249" t="e">
        <f t="shared" si="11"/>
        <v>#N/A</v>
      </c>
      <c r="AI46" s="231" t="str">
        <f t="shared" si="12"/>
        <v xml:space="preserve"> </v>
      </c>
      <c r="AJ46" s="232" t="e">
        <f t="shared" si="8"/>
        <v>#VALUE!</v>
      </c>
      <c r="AK46" s="111" t="e">
        <f t="shared" si="13"/>
        <v>#VALUE!</v>
      </c>
      <c r="AM46" s="57"/>
      <c r="AN46" s="61"/>
      <c r="AV46" s="167"/>
      <c r="AX46" s="168" t="s">
        <v>93</v>
      </c>
      <c r="AY46" s="257">
        <v>0.75</v>
      </c>
      <c r="AZ46" s="57"/>
      <c r="BA46" s="57"/>
      <c r="BE46" s="360" t="s">
        <v>94</v>
      </c>
      <c r="BF46" s="360" t="s">
        <v>95</v>
      </c>
    </row>
    <row r="47" spans="1:58" s="24" customFormat="1" ht="13">
      <c r="A47" s="424" t="s">
        <v>96</v>
      </c>
      <c r="B47" s="424"/>
      <c r="C47" s="424"/>
      <c r="D47" s="424"/>
      <c r="E47" s="424"/>
      <c r="F47" s="424"/>
      <c r="G47" s="424"/>
      <c r="H47" s="424"/>
      <c r="I47" s="424"/>
      <c r="J47" s="424"/>
      <c r="K47" s="424"/>
      <c r="L47" s="425" t="s">
        <v>97</v>
      </c>
      <c r="M47" s="425"/>
      <c r="N47" s="425"/>
      <c r="O47" s="425"/>
      <c r="P47" s="425"/>
      <c r="Q47" s="425"/>
      <c r="R47" s="425"/>
      <c r="S47" s="445" t="s">
        <v>98</v>
      </c>
      <c r="T47" s="445"/>
      <c r="U47" s="445"/>
      <c r="V47" s="445"/>
      <c r="W47" s="445"/>
      <c r="X47" s="445"/>
      <c r="Y47" s="445"/>
      <c r="Z47" s="445"/>
      <c r="AA47" s="445"/>
      <c r="AC47" s="228" t="e">
        <f t="shared" si="2"/>
        <v>#VALUE!</v>
      </c>
      <c r="AD47" s="229" t="str">
        <f t="shared" si="3"/>
        <v/>
      </c>
      <c r="AE47" s="181" t="str">
        <f t="shared" si="4"/>
        <v/>
      </c>
      <c r="AF47" s="230" t="str">
        <f t="shared" si="10"/>
        <v xml:space="preserve"> </v>
      </c>
      <c r="AG47" s="226" t="e">
        <f t="shared" si="5"/>
        <v>#VALUE!</v>
      </c>
      <c r="AH47" s="249" t="e">
        <f t="shared" si="11"/>
        <v>#N/A</v>
      </c>
      <c r="AI47" s="231" t="str">
        <f t="shared" si="12"/>
        <v xml:space="preserve"> </v>
      </c>
      <c r="AJ47" s="232" t="e">
        <f t="shared" si="8"/>
        <v>#VALUE!</v>
      </c>
      <c r="AK47" s="111" t="e">
        <f t="shared" si="13"/>
        <v>#VALUE!</v>
      </c>
      <c r="AM47" s="57"/>
      <c r="AN47" s="61"/>
      <c r="AV47" s="58" t="s">
        <v>99</v>
      </c>
      <c r="AW47" s="177">
        <v>5.39</v>
      </c>
      <c r="AX47" s="178">
        <v>46.15</v>
      </c>
      <c r="AY47" s="288">
        <f>$AY$46*AX47</f>
        <v>34.612499999999997</v>
      </c>
      <c r="AZ47" s="180" t="s">
        <v>100</v>
      </c>
      <c r="BA47" s="56"/>
      <c r="BB47" s="54" t="s">
        <v>101</v>
      </c>
      <c r="BC47" s="54" t="s">
        <v>102</v>
      </c>
      <c r="BD47" s="54" t="s">
        <v>103</v>
      </c>
      <c r="BE47" s="54" t="s">
        <v>104</v>
      </c>
      <c r="BF47" s="54" t="s">
        <v>105</v>
      </c>
    </row>
    <row r="48" spans="1:58" s="24" customFormat="1" ht="17.2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C48" s="228" t="e">
        <f t="shared" si="2"/>
        <v>#VALUE!</v>
      </c>
      <c r="AD48" s="229" t="str">
        <f t="shared" si="3"/>
        <v/>
      </c>
      <c r="AE48" s="181" t="str">
        <f t="shared" si="4"/>
        <v/>
      </c>
      <c r="AF48" s="230" t="str">
        <f t="shared" si="10"/>
        <v xml:space="preserve"> </v>
      </c>
      <c r="AG48" s="226" t="e">
        <f t="shared" si="5"/>
        <v>#VALUE!</v>
      </c>
      <c r="AH48" s="249" t="e">
        <f t="shared" si="11"/>
        <v>#N/A</v>
      </c>
      <c r="AI48" s="231" t="str">
        <f t="shared" si="12"/>
        <v xml:space="preserve"> </v>
      </c>
      <c r="AJ48" s="232" t="e">
        <f t="shared" si="8"/>
        <v>#VALUE!</v>
      </c>
      <c r="AK48" s="111" t="e">
        <f t="shared" si="13"/>
        <v>#VALUE!</v>
      </c>
      <c r="AM48" s="57"/>
      <c r="AN48" s="61"/>
      <c r="AV48" s="58" t="s">
        <v>106</v>
      </c>
      <c r="AW48" s="177">
        <v>11.249000000000001</v>
      </c>
      <c r="AX48" s="288">
        <v>85.326080726876171</v>
      </c>
      <c r="AY48" s="288">
        <f>$AY$46*AX48</f>
        <v>63.994560545157128</v>
      </c>
      <c r="AZ48" s="180" t="s">
        <v>107</v>
      </c>
      <c r="BA48" s="56"/>
      <c r="BB48" s="58" t="s">
        <v>108</v>
      </c>
      <c r="BC48" s="293">
        <v>0.57999999999999996</v>
      </c>
      <c r="BD48" s="293">
        <v>0.74</v>
      </c>
      <c r="BE48" s="24">
        <f>BC48*0.9*12000</f>
        <v>6264</v>
      </c>
      <c r="BF48" s="24">
        <f>BD48*1.1*12000</f>
        <v>9768</v>
      </c>
    </row>
    <row r="49" spans="1:257" s="24" customFormat="1" ht="14.5" thickBot="1">
      <c r="A49" s="434" t="s">
        <v>109</v>
      </c>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209"/>
      <c r="AC49" s="210"/>
      <c r="AD49" s="210"/>
      <c r="AV49" s="58" t="s">
        <v>110</v>
      </c>
      <c r="AW49" s="177">
        <v>19.989999999999998</v>
      </c>
      <c r="AX49" s="288">
        <v>56.33475799169446</v>
      </c>
      <c r="AY49" s="288">
        <f t="shared" ref="AY49" si="14">$AY$46*AX49</f>
        <v>42.251068493770845</v>
      </c>
      <c r="AZ49" s="180" t="s">
        <v>111</v>
      </c>
      <c r="BA49" s="73"/>
      <c r="BB49" s="58" t="s">
        <v>112</v>
      </c>
      <c r="BC49" s="293">
        <v>0.75</v>
      </c>
      <c r="BD49" s="293">
        <v>0.99</v>
      </c>
      <c r="BE49" s="24">
        <f t="shared" ref="BE49:BE90" si="15">BC49*0.9*12000</f>
        <v>8100.0000000000009</v>
      </c>
      <c r="BF49" s="24">
        <f t="shared" ref="BF49:BF90" si="16">BD49*1.1*12000</f>
        <v>13068</v>
      </c>
      <c r="BT49" s="24" t="s">
        <v>113</v>
      </c>
      <c r="BV49" s="24" t="s">
        <v>114</v>
      </c>
    </row>
    <row r="50" spans="1:257" s="24" customFormat="1" ht="47.25" customHeight="1">
      <c r="A50" s="447" t="s">
        <v>19</v>
      </c>
      <c r="B50" s="447"/>
      <c r="C50" s="447"/>
      <c r="D50" s="447"/>
      <c r="E50" s="447"/>
      <c r="F50" s="447"/>
      <c r="G50" s="446" t="s">
        <v>115</v>
      </c>
      <c r="H50" s="446"/>
      <c r="I50" s="446"/>
      <c r="J50" s="446"/>
      <c r="K50" s="436" t="s">
        <v>116</v>
      </c>
      <c r="L50" s="436"/>
      <c r="M50" s="436" t="s">
        <v>117</v>
      </c>
      <c r="N50" s="436"/>
      <c r="O50" s="421" t="s">
        <v>118</v>
      </c>
      <c r="P50" s="422"/>
      <c r="Q50" s="421" t="s">
        <v>119</v>
      </c>
      <c r="R50" s="422"/>
      <c r="S50" s="436" t="s">
        <v>20</v>
      </c>
      <c r="T50" s="436"/>
      <c r="U50" s="436" t="s">
        <v>120</v>
      </c>
      <c r="V50" s="436"/>
      <c r="W50" s="436" t="s">
        <v>121</v>
      </c>
      <c r="X50" s="436"/>
      <c r="Y50" s="436" t="s">
        <v>122</v>
      </c>
      <c r="Z50" s="436"/>
      <c r="AA50" s="436"/>
      <c r="AB50" s="211" t="s">
        <v>123</v>
      </c>
      <c r="AC50" s="212" t="s">
        <v>124</v>
      </c>
      <c r="AD50" s="212" t="s">
        <v>125</v>
      </c>
      <c r="AE50" s="213" t="s">
        <v>126</v>
      </c>
      <c r="AF50" s="213" t="s">
        <v>127</v>
      </c>
      <c r="AG50" s="111" t="s">
        <v>128</v>
      </c>
      <c r="AH50" s="319" t="s">
        <v>129</v>
      </c>
      <c r="AI50" s="111"/>
      <c r="AJ50" s="111"/>
      <c r="AK50" s="111" t="s">
        <v>130</v>
      </c>
      <c r="AL50" s="111" t="s">
        <v>131</v>
      </c>
      <c r="AM50" s="58"/>
      <c r="AN50" s="58"/>
      <c r="AO50" s="58" t="s">
        <v>132</v>
      </c>
      <c r="AP50" s="320" t="s">
        <v>133</v>
      </c>
      <c r="AQ50" s="320" t="s">
        <v>134</v>
      </c>
      <c r="AR50" s="111"/>
      <c r="AS50" s="111" t="s">
        <v>135</v>
      </c>
      <c r="AT50" s="24" t="s">
        <v>136</v>
      </c>
      <c r="AU50" s="61" t="s">
        <v>137</v>
      </c>
      <c r="AV50" s="58" t="s">
        <v>138</v>
      </c>
      <c r="AW50" s="177">
        <v>63.29</v>
      </c>
      <c r="AX50" s="288">
        <v>48.984060402865907</v>
      </c>
      <c r="AY50" s="288">
        <f t="shared" ref="AY50:AY51" si="17">$AY$46*AX50</f>
        <v>36.73804530214943</v>
      </c>
      <c r="AZ50" s="180" t="s">
        <v>139</v>
      </c>
      <c r="BA50" s="54"/>
      <c r="BB50" s="58" t="s">
        <v>140</v>
      </c>
      <c r="BC50" s="293">
        <v>1</v>
      </c>
      <c r="BD50" s="293">
        <v>1.24</v>
      </c>
      <c r="BE50" s="24">
        <f t="shared" si="15"/>
        <v>10800</v>
      </c>
      <c r="BF50" s="24">
        <f t="shared" si="16"/>
        <v>16368.000000000002</v>
      </c>
      <c r="BT50" s="330" t="s">
        <v>141</v>
      </c>
      <c r="BU50" s="330" t="s">
        <v>142</v>
      </c>
      <c r="BV50" s="24" t="s">
        <v>143</v>
      </c>
      <c r="CC50" s="24" t="s">
        <v>144</v>
      </c>
      <c r="CF50" s="330" t="s">
        <v>141</v>
      </c>
      <c r="CG50" s="330" t="s">
        <v>142</v>
      </c>
    </row>
    <row r="51" spans="1:257" s="24" customFormat="1" ht="12.75" customHeight="1">
      <c r="A51" s="429"/>
      <c r="B51" s="429"/>
      <c r="C51" s="429"/>
      <c r="D51" s="429"/>
      <c r="E51" s="429"/>
      <c r="F51" s="429"/>
      <c r="G51" s="381"/>
      <c r="H51" s="381"/>
      <c r="I51" s="381"/>
      <c r="J51" s="381"/>
      <c r="K51" s="381"/>
      <c r="L51" s="381"/>
      <c r="M51" s="435"/>
      <c r="N51" s="435"/>
      <c r="O51" s="505"/>
      <c r="P51" s="506"/>
      <c r="Q51" s="423" t="str">
        <f>IF(O51="","",O51/12000)</f>
        <v/>
      </c>
      <c r="R51" s="423"/>
      <c r="S51" s="419" t="str">
        <f>IF(AND(A51&lt;&gt;"",G51="",K51=""),"",IF(NOT(OR(ISNA(AO51),ISNA(AH51))),AO51,IF(OR(AND(ISBLANK(K51),ISNA(AO51)),AND(OR(AB51="AC1",AB51="X",AB51="AC3U5",AB51="HP3U5"),OR(ISNA(AH51),ISNA(AO51)))),"CK CAT","CK SEER Rating")))</f>
        <v xml:space="preserve"> </v>
      </c>
      <c r="T51" s="419"/>
      <c r="U51" s="418"/>
      <c r="V51" s="418"/>
      <c r="W51" s="420"/>
      <c r="X51" s="420"/>
      <c r="Y51" s="417" t="str">
        <f>IF(S51="CK SEER Rating","CK or Delete SEER",IF(S51="CK CAT","Size/Usage CAT",IF(AC51="Incomplete","Incomplete",IF(AE51,"CK SIZE",IF(AF51,"CK Efficiency",IF(AS51="",AG51,IF(AG51/W51&gt;AS51,AS51*W51,AG51)))))))</f>
        <v xml:space="preserve"> </v>
      </c>
      <c r="Z51" s="417"/>
      <c r="AA51" s="417"/>
      <c r="AB51" s="214" t="str">
        <f t="shared" ref="AB51" si="18">IF(A51="HP_Unit_Single_Phase","X",IF(AR51&lt;&gt;"",AR51,IF(OR(A51="Hotel_Room_Control_AC_Only",A51="Hotel_Room_Control_Heat_Pumps",A51="System_Test_And_Repair",A51="Programable_Thermostat",A51="CO_Sensors",A51="CO2_Sensors"),"T",IF(OR(A51="Chiller_Centrifugal",A51="Chiller_Positive_Displacement",A51="Chiller_Reciprocating",A51="Chiller_Air_Cooled"),"C",IF(OR(A51="PTAC",A51="Add_Economizers"),"E",IF(A51="AC_Unit_Single_Phase","AC1",IF(A51="","",IF(A51="AC_Unit_Three_Phase","AC3",IF(A51="Minisplit_AC","MAC",IF(A51="Minisplit_HP","MHP","3"))))))))))</f>
        <v/>
      </c>
      <c r="AC51" s="212" t="str">
        <f t="shared" ref="AC51:AC68" si="19">IF(AND(AB51="X",OR(A51="",G51="",K51="",M51="",W51="")),"Incomplete",IF(AND(AB51="3",OR(A51="",G51="",Q51="",M51="",U51="",W51="")),"Incomplete",IF(AND(AB51="T",OR(A51="",G51="",W51="")),"Incomplete",IF(AND(OR(AB51="C",AB51="DTR"),OR(G51="",Q51="",U51="",W51="")),"Incomplete",IF(AND(AB51="AC1",OR(G51="",K51="",W51="")),"Incomplete",IF(AND(AB51="AC3",OR(G51="",Q51="",U51="",W51="")),"Incomplete",IF(AN51="","",AN51)))))))</f>
        <v/>
      </c>
      <c r="AD51" s="212" t="str">
        <f t="shared" ref="AD51" si="20">IF(ISBLANK(A51),"",IF(OR(AE51,AF51,S51="CK CAT"),1,""))</f>
        <v/>
      </c>
      <c r="AE51" s="111" t="b">
        <f t="shared" ref="AE51:AE68" si="21">IF(OR(A51="",NOT(AB51="C"),ISNA(VLOOKUP(G51,$BB$48:$BD$110,2,FALSE))),FALSE,NOT(AND(Q51&gt;=VLOOKUP(G51,$BB$48:$BD$110,2,FALSE),Q51&lt;=VLOOKUP(G51,$BB$48:$BD$110,3,FALSE))))</f>
        <v>0</v>
      </c>
      <c r="AF51" s="111" t="b">
        <f t="shared" ref="AF51:AF68" si="22">IF(OR(A51="",AB51="X",AB51="AC1",AB51="AC3U5",AB51="HP3U5",ISNA(VLOOKUP(S51,$AF$163:$AJ$247,4,FALSE))),FALSE,NOT(AND(U51&gt;=VLOOKUP(S51,$AF$163:$AJ$247,4,FALSE),U51&lt;=VLOOKUP(S51,$AF$163:$AJ$247,5,FALSE))))</f>
        <v>0</v>
      </c>
      <c r="AG51" s="125" t="str">
        <f t="shared" ref="AG51:AG68" si="23">IF(OR(AC51="Incomplete",AD51=1),"Incomplete",IF(OR(ISBLANK(A51),ISBLANK(G51),ISBLANK(W51))," ",IF(OR(AB51="AC3U5",AB51="HP3U5",AB51="AC1",AB51="X"),($AP51*$Q51)*$W51,IF(OR($A51="Chiller_Centrifugal",$A51="Chiller_Positive_Displacement",$A51="Chiller_Air_Cooled"),(ABS(AL51-$U51)*$AQ51*Q51+$AP51*$Q51)*$W51,IF(OR(AND(AB51="AC3",S51="per Ton"),AB51="E"),Q51*AP51*W51,IF(AB51="DTR",(AP51+AQ51*Q51)*W51,IF(OR(AB51="AC3",AB51="HP3"),(Q51*AP51+(U51-AK51)*AQ51*Q51)*W51,IF(OR(AB51="MAC",AB51="MHP"),(Q51*AP51*12)*W51,W51*AP51))))))))</f>
        <v xml:space="preserve"> </v>
      </c>
      <c r="AH51" s="111" t="str">
        <f t="shared" ref="AH51:AH68" si="24">IF(A51="","",IF(OR(AB51="X",AB51="AC1",AB51="AC3U5",AB51="HP3U5"),IF(G51="","",VLOOKUP(CONCATENATE(A51,G51),$AE$332:$AE$355,1,FALSE)),""))</f>
        <v/>
      </c>
      <c r="AI51" s="111"/>
      <c r="AJ51" s="111" t="str">
        <f t="shared" ref="AJ51:AJ68" si="25">IF(OR(AB51="AC3",AB51="HP3"),IF(Q51&lt;=$AW$47,$AZ$47,IF(Q51&lt;=$AW$48,$AZ$48,IF(Q51&lt;$AW$49,$AZ$49,IF(Q51&lt;=$AW$50,$AZ$50,$AZ$51)))),IF(AB51="C","YES",""))</f>
        <v/>
      </c>
      <c r="AK51" s="111" t="e">
        <f t="shared" ref="AK51:AK68" si="26">VLOOKUP(S51,$AF$163:$AJ$301,4,FALSE)</f>
        <v>#N/A</v>
      </c>
      <c r="AL51" s="111" t="e">
        <f t="shared" ref="AL51:AL68" si="27">VLOOKUP(S51,$AF$163:$AJ$301,5,FALSE)</f>
        <v>#N/A</v>
      </c>
      <c r="AM51" s="111" t="str">
        <f t="shared" ref="AM51:AM68" si="28">IF(G51="&lt;5.4_tons",IF(Q51&gt;=5,"_5.0_tons",IF(Q51&gt;=4,"_4.0_tons",IF(Q51&gt;=3.5,"_3.5_tons",IF(Q51&gt;=3,"_3.0_tons",IF(Q51&gt;=2.5,"_2.5_tons",IF(Q51&gt;=2,"_2.0_tons","_2.0_tons")))))),"")</f>
        <v/>
      </c>
      <c r="AN51" s="111" t="str">
        <f t="shared" ref="AN51:AN68" si="29">IF(AND(AB51="AC3",OR(G51="",Q51="",U51="",W51="")),"Incomplete",IF(AND(AB51="PTHP",OR(M51="",U51="",W51="")),"Incomplete",IF(AND(AB51="HP3U5",OR(G51="",W51="",K51="",M51="")),"Incomplete",IF(AND(AB51="AC3U5",OR(G51="",W51="",K51="")),"Incomplete",IF(AND(AB51="E",OR(U51="",W51="")),"Incomplete","")))))</f>
        <v/>
      </c>
      <c r="AO51" s="111" t="str">
        <f t="shared" ref="AO51:AO68" si="30">IF(AND(OR($A51="AC_Unit_Single_Phase",$A51="HP_Unit_Single_Phase",$AB51="AC3U5",$AB51="HP3U5"),K51=""),"CK SEER2 Rating",IF(AND(OR($A51="AC_Unit_Single_Phase",$A51="HP_Unit_Single_Phase",$A51="AC_Unit_Three_Phase",$A51="HP_Unit_Three_Phase"),K51&lt;&gt;""),VLOOKUP(CONCATENATE($A51,$G51,$K51),$AE$162:$AH$313,2,FALSE),IF(AND(OR($A51="AC_Unit_Single_Phase",$A51="HP_Unit_Single_Phase"),M51=""),"",IF(ISBLANK($G51)," ",IF(AND(OR($A51="AC_Unit_Three_Phase",$A51="HP_Unit_Three_Phase"),G51="&lt;5.4_tons"),"ENTER SEER",VLOOKUP(CONCATENATE($A51,$G51),$AE$162:$AH$313,2,FALSE))))))</f>
        <v xml:space="preserve"> </v>
      </c>
      <c r="AP51" s="287" t="str">
        <f t="shared" ref="AP51:AP68" si="31">IF(OR($A51="AC_Unit_Single_Phase",$A51="HP_Unit_Single_Phase",AB51="AC3U5",AB51="HP3U5"),_xlfn.XLOOKUP(CONCATENATE($A51,$G51,$K51),$AE$162:$AE$313,$AG$162:$AG$313,FALSE),IF(ISBLANK($G51)," ",_xlfn.XLOOKUP(CONCATENATE($A51,$G51),$AE$162:$AE$313,$AG$162:$AG$313,FALSE)))</f>
        <v xml:space="preserve"> </v>
      </c>
      <c r="AQ51" s="224" t="str">
        <f t="shared" ref="AQ51:AQ68" si="32">IF(OR($A51="AC_Unit_Single_Phase",$A51="HP_Unit_Single_Phase",$A51="AC_Unit_Three_Phase",$A51="HP_Unit_Three_Phase"),_xlfn.XLOOKUP(CONCATENATE($A51,$G51,$K51),$AE$162:$AE$313,$AH$162:$AH$313,FALSE), IF(ISBLANK($G51)," ",_xlfn.XLOOKUP(CONCATENATE($A51,$G51),$AE$162:$AE$313,$AH$162:$AH$313,FALSE)))</f>
        <v xml:space="preserve"> </v>
      </c>
      <c r="AR51" s="111" t="str">
        <f t="shared" ref="AR51:AR68" si="33">IF(OR(AND(A51="AC_Unit_Three_Phase",G51=$AX$169),AND(A51="AC_Unit_Three_Phase",G51=$AX$170),AND(A51="AC_Unit_Three_Phase",G51=$AX$171),AND(A51="AC_Unit_Three_Phase",G51=$AX$172)),"AC3",IF(A51="AC_Unit_Three_Phase","AC3U5",IF(OR(AND(A51="HP_Unit_Three_Phase",G51=$AY$169),AND(A51="HP_Unit_Three_Phase",G51=$AY$170),AND(A51="HP_Unit_Three_Phase",G51=$AY$171),AND(A51="HP_Unit_Three_Phase",G51=$AY$172)),"HP3",IF(A51="HP_Unit_Three_Phase","HP3U5",IF(A51="PTHP","PTHP","")))))</f>
        <v/>
      </c>
      <c r="AS51" s="181" t="str">
        <f t="shared" ref="AS51:AS68" si="34">IF(A51="Add_Economizers","",IF(AB51="C",IF(AU51="Tier1",VLOOKUP(CONCATENATE(A51,G51),$AE$170:$AK$181,7,FALSE)*Q51,VLOOKUP(CONCATENATE(A51,G51),$AE$170:$AN$181,9,FALSE)*Q51),IF(OR(AB51="AC1",AB51="x",AB51="AC3U5",AB51="HP3U5"),VLOOKUP(CONCATENATE(A51,G51,K51),$AE$184:$AL$313,8,FALSE)*Q51,IF(AJ51&lt;&gt;"",VLOOKUP(CONCATENATE(A51,AJ51),$AV$47:$AY$56,4,FALSE)*Q51,""))))</f>
        <v/>
      </c>
      <c r="AT51" s="24" t="str">
        <f t="shared" ref="AT51:AT68" si="35">IF(AB51="C",VLOOKUP(CONCATENATE($A51,$G51),$AE$162:$AM$313,8,FALSE),"")</f>
        <v/>
      </c>
      <c r="AU51" s="24" t="str">
        <f>IF(AB51="C",IF(U51&lt;=AT51,"Tier2","Tier1"),"")</f>
        <v/>
      </c>
      <c r="AV51" s="58" t="s">
        <v>145</v>
      </c>
      <c r="AW51" s="177">
        <v>10000</v>
      </c>
      <c r="AX51" s="309">
        <v>27.446733065693707</v>
      </c>
      <c r="AY51" s="288">
        <f t="shared" si="17"/>
        <v>20.58504979927028</v>
      </c>
      <c r="AZ51" s="180" t="s">
        <v>146</v>
      </c>
      <c r="BA51" s="75"/>
      <c r="BB51" s="58" t="s">
        <v>147</v>
      </c>
      <c r="BC51" s="293">
        <v>1.25</v>
      </c>
      <c r="BD51" s="293">
        <v>1.5</v>
      </c>
      <c r="BE51" s="24">
        <f t="shared" si="15"/>
        <v>13500</v>
      </c>
      <c r="BF51" s="24">
        <f t="shared" si="16"/>
        <v>19800</v>
      </c>
      <c r="BT51" s="331" t="s">
        <v>148</v>
      </c>
      <c r="BU51" s="331" t="s">
        <v>148</v>
      </c>
      <c r="BV51" s="332" t="s">
        <v>149</v>
      </c>
      <c r="BY51" s="338" t="s">
        <v>150</v>
      </c>
      <c r="BZ51" s="334" t="s">
        <v>151</v>
      </c>
    </row>
    <row r="52" spans="1:257" s="24" customFormat="1" ht="13">
      <c r="A52" s="429"/>
      <c r="B52" s="429"/>
      <c r="C52" s="429"/>
      <c r="D52" s="429"/>
      <c r="E52" s="429"/>
      <c r="F52" s="429"/>
      <c r="G52" s="381"/>
      <c r="H52" s="381"/>
      <c r="I52" s="381"/>
      <c r="J52" s="381"/>
      <c r="K52" s="381"/>
      <c r="L52" s="381"/>
      <c r="M52" s="435"/>
      <c r="N52" s="435"/>
      <c r="O52" s="505"/>
      <c r="P52" s="506"/>
      <c r="Q52" s="423" t="str">
        <f t="shared" ref="Q52:Q68" si="36">IF(O52="","",O52/12000)</f>
        <v/>
      </c>
      <c r="R52" s="423"/>
      <c r="S52" s="419" t="str">
        <f t="shared" ref="S52:S68" si="37">IF(AND(A52&lt;&gt;"",G52="",K52=""),"",IF(NOT(OR(ISNA(AO52),ISNA(AH52))),AO52,IF(OR(AND(ISBLANK(K52),ISNA(AO52)),AND(OR(AB52="AC1",AB52="X",AB52="AC3U5",AB52="HP3U5"),OR(ISNA(AH52),ISNA(AO52)))),"CK CAT","CK SEER Rating")))</f>
        <v xml:space="preserve"> </v>
      </c>
      <c r="T52" s="419"/>
      <c r="U52" s="418"/>
      <c r="V52" s="418"/>
      <c r="W52" s="420"/>
      <c r="X52" s="420"/>
      <c r="Y52" s="417" t="str">
        <f t="shared" ref="Y52:Y68" si="38">IF(S52="CK SEER Rating","CK or Delete SEER",IF(S52="CK CAT","Size/Usage CAT",IF(AC52="Incomplete","Incomplete",IF(AE52,"CK SIZE",IF(AF52,"CK Efficiency",IF(AS52="",AG52,IF(AG52/W52&gt;AS52,AS52*W52,AG52)))))))</f>
        <v xml:space="preserve"> </v>
      </c>
      <c r="Z52" s="417"/>
      <c r="AA52" s="417"/>
      <c r="AB52" s="214" t="str">
        <f t="shared" ref="AB52:AB68" si="39">IF(A52="HP_Unit_Single_Phase","X",IF(AR52&lt;&gt;"",AR52,IF(OR(A52="Hotel_Room_Control_AC_Only",A52="Hotel_Room_Control_Heat_Pumps",A52="System_Test_And_Repair",A52="Programable_Thermostat",A52="CO_Sensors",A52="CO2_Sensors"),"T",IF(OR(A52="Chiller_Centrifugal",A52="Chiller_Positive_Displacement",A52="Chiller_Reciprocating",A52="Chiller_Air_Cooled"),"C",IF(OR(A52="PTAC",A52="Add_Economizers"),"E",IF(A52="AC_Unit_Single_Phase","AC1",IF(A52="","",IF(A52="AC_Unit_Three_Phase","AC3",IF(A52="Minisplit_AC","MAC",IF(A52="Minisplit_HP","MHP","3"))))))))))</f>
        <v/>
      </c>
      <c r="AC52" s="212" t="str">
        <f t="shared" si="19"/>
        <v/>
      </c>
      <c r="AD52" s="212" t="str">
        <f t="shared" ref="AD52:AD68" si="40">IF(ISBLANK(A52),"",IF(OR(AE52,AF52,S52="CK CAT"),1,""))</f>
        <v/>
      </c>
      <c r="AE52" s="111" t="b">
        <f t="shared" si="21"/>
        <v>0</v>
      </c>
      <c r="AF52" s="111" t="b">
        <f t="shared" si="22"/>
        <v>0</v>
      </c>
      <c r="AG52" s="125" t="str">
        <f t="shared" si="23"/>
        <v xml:space="preserve"> </v>
      </c>
      <c r="AH52" s="111" t="str">
        <f t="shared" si="24"/>
        <v/>
      </c>
      <c r="AI52" s="111"/>
      <c r="AJ52" s="111" t="str">
        <f t="shared" si="25"/>
        <v/>
      </c>
      <c r="AK52" s="111" t="e">
        <f t="shared" si="26"/>
        <v>#N/A</v>
      </c>
      <c r="AL52" s="111" t="e">
        <f t="shared" si="27"/>
        <v>#N/A</v>
      </c>
      <c r="AM52" s="111" t="str">
        <f t="shared" si="28"/>
        <v/>
      </c>
      <c r="AN52" s="111" t="str">
        <f t="shared" si="29"/>
        <v/>
      </c>
      <c r="AO52" s="111" t="str">
        <f t="shared" si="30"/>
        <v xml:space="preserve"> </v>
      </c>
      <c r="AP52" s="287" t="str">
        <f t="shared" si="31"/>
        <v xml:space="preserve"> </v>
      </c>
      <c r="AQ52" s="224" t="str">
        <f t="shared" si="32"/>
        <v xml:space="preserve"> </v>
      </c>
      <c r="AR52" s="111" t="str">
        <f t="shared" si="33"/>
        <v/>
      </c>
      <c r="AS52" s="181" t="str">
        <f t="shared" si="34"/>
        <v/>
      </c>
      <c r="AT52" s="24" t="str">
        <f t="shared" si="35"/>
        <v/>
      </c>
      <c r="AU52" s="24" t="str">
        <f t="shared" ref="AU52:AU68" si="41">IF(AB52="C",IF(U52&lt;=AT52,"Tier2","Tier1"),"")</f>
        <v/>
      </c>
      <c r="AV52" s="58" t="s">
        <v>152</v>
      </c>
      <c r="AW52" s="177">
        <v>5.39</v>
      </c>
      <c r="AX52" s="179">
        <v>72.81</v>
      </c>
      <c r="AY52" s="288">
        <f>$AY$46*AX52</f>
        <v>54.607500000000002</v>
      </c>
      <c r="AZ52" s="180" t="s">
        <v>100</v>
      </c>
      <c r="BA52" s="75"/>
      <c r="BB52" s="58" t="s">
        <v>153</v>
      </c>
      <c r="BC52" s="293">
        <v>0</v>
      </c>
      <c r="BD52" s="293">
        <v>2.4990000000000001</v>
      </c>
      <c r="BE52" s="24">
        <f t="shared" si="15"/>
        <v>0</v>
      </c>
      <c r="BF52" s="24">
        <f t="shared" si="16"/>
        <v>32986.800000000003</v>
      </c>
      <c r="BT52" s="331" t="s">
        <v>148</v>
      </c>
      <c r="BU52" s="331" t="s">
        <v>148</v>
      </c>
      <c r="BV52" s="24" t="s">
        <v>154</v>
      </c>
    </row>
    <row r="53" spans="1:257" s="24" customFormat="1" ht="13">
      <c r="A53" s="429"/>
      <c r="B53" s="429"/>
      <c r="C53" s="429"/>
      <c r="D53" s="429"/>
      <c r="E53" s="429"/>
      <c r="F53" s="429"/>
      <c r="G53" s="430"/>
      <c r="H53" s="430"/>
      <c r="I53" s="430"/>
      <c r="J53" s="430"/>
      <c r="K53" s="381"/>
      <c r="L53" s="381"/>
      <c r="M53" s="435"/>
      <c r="N53" s="435"/>
      <c r="O53" s="505"/>
      <c r="P53" s="506"/>
      <c r="Q53" s="423" t="str">
        <f t="shared" si="36"/>
        <v/>
      </c>
      <c r="R53" s="423"/>
      <c r="S53" s="419" t="str">
        <f t="shared" si="37"/>
        <v xml:space="preserve"> </v>
      </c>
      <c r="T53" s="419"/>
      <c r="U53" s="418"/>
      <c r="V53" s="418"/>
      <c r="W53" s="420"/>
      <c r="X53" s="420"/>
      <c r="Y53" s="417" t="str">
        <f t="shared" si="38"/>
        <v xml:space="preserve"> </v>
      </c>
      <c r="Z53" s="417"/>
      <c r="AA53" s="417"/>
      <c r="AB53" s="214" t="str">
        <f t="shared" si="39"/>
        <v/>
      </c>
      <c r="AC53" s="212" t="str">
        <f t="shared" si="19"/>
        <v/>
      </c>
      <c r="AD53" s="212" t="str">
        <f t="shared" si="40"/>
        <v/>
      </c>
      <c r="AE53" s="111" t="b">
        <f t="shared" si="21"/>
        <v>0</v>
      </c>
      <c r="AF53" s="111" t="b">
        <f t="shared" si="22"/>
        <v>0</v>
      </c>
      <c r="AG53" s="125" t="str">
        <f t="shared" si="23"/>
        <v xml:space="preserve"> </v>
      </c>
      <c r="AH53" s="111" t="str">
        <f t="shared" si="24"/>
        <v/>
      </c>
      <c r="AI53" s="111"/>
      <c r="AJ53" s="111" t="str">
        <f t="shared" si="25"/>
        <v/>
      </c>
      <c r="AK53" s="111" t="e">
        <f t="shared" si="26"/>
        <v>#N/A</v>
      </c>
      <c r="AL53" s="111" t="e">
        <f t="shared" si="27"/>
        <v>#N/A</v>
      </c>
      <c r="AM53" s="111" t="str">
        <f t="shared" si="28"/>
        <v/>
      </c>
      <c r="AN53" s="111" t="str">
        <f t="shared" si="29"/>
        <v/>
      </c>
      <c r="AO53" s="111" t="str">
        <f t="shared" si="30"/>
        <v xml:space="preserve"> </v>
      </c>
      <c r="AP53" s="287" t="str">
        <f t="shared" si="31"/>
        <v xml:space="preserve"> </v>
      </c>
      <c r="AQ53" s="224" t="str">
        <f t="shared" si="32"/>
        <v xml:space="preserve"> </v>
      </c>
      <c r="AR53" s="111" t="str">
        <f t="shared" si="33"/>
        <v/>
      </c>
      <c r="AS53" s="181" t="str">
        <f t="shared" si="34"/>
        <v/>
      </c>
      <c r="AT53" s="24" t="str">
        <f t="shared" si="35"/>
        <v/>
      </c>
      <c r="AU53" s="24" t="str">
        <f t="shared" si="41"/>
        <v/>
      </c>
      <c r="AV53" s="58" t="s">
        <v>155</v>
      </c>
      <c r="AW53" s="177">
        <v>11.249000000000001</v>
      </c>
      <c r="AX53" s="288">
        <v>96.189595198926781</v>
      </c>
      <c r="AY53" s="288">
        <f>$AY$46*AX53</f>
        <v>72.142196399195086</v>
      </c>
      <c r="AZ53" s="180" t="s">
        <v>107</v>
      </c>
      <c r="BA53" s="75"/>
      <c r="BB53" s="58" t="s">
        <v>156</v>
      </c>
      <c r="BC53" s="293">
        <v>0</v>
      </c>
      <c r="BD53" s="293">
        <v>2.4990000000000001</v>
      </c>
      <c r="BE53" s="24">
        <f t="shared" si="15"/>
        <v>0</v>
      </c>
      <c r="BF53" s="24">
        <f t="shared" si="16"/>
        <v>32986.800000000003</v>
      </c>
      <c r="BT53" s="331" t="s">
        <v>148</v>
      </c>
      <c r="BU53" s="331" t="s">
        <v>148</v>
      </c>
      <c r="BV53" s="332" t="s">
        <v>157</v>
      </c>
      <c r="BY53" s="338" t="s">
        <v>150</v>
      </c>
      <c r="BZ53" s="334" t="s">
        <v>158</v>
      </c>
    </row>
    <row r="54" spans="1:257" s="24" customFormat="1" ht="13">
      <c r="A54" s="429"/>
      <c r="B54" s="429"/>
      <c r="C54" s="429"/>
      <c r="D54" s="429"/>
      <c r="E54" s="429"/>
      <c r="F54" s="429"/>
      <c r="G54" s="430"/>
      <c r="H54" s="430"/>
      <c r="I54" s="430"/>
      <c r="J54" s="430"/>
      <c r="K54" s="381"/>
      <c r="L54" s="381"/>
      <c r="M54" s="435"/>
      <c r="N54" s="435"/>
      <c r="O54" s="505"/>
      <c r="P54" s="506"/>
      <c r="Q54" s="423" t="str">
        <f t="shared" si="36"/>
        <v/>
      </c>
      <c r="R54" s="423"/>
      <c r="S54" s="419" t="str">
        <f t="shared" si="37"/>
        <v xml:space="preserve"> </v>
      </c>
      <c r="T54" s="419"/>
      <c r="U54" s="418"/>
      <c r="V54" s="418"/>
      <c r="W54" s="420"/>
      <c r="X54" s="420"/>
      <c r="Y54" s="417" t="str">
        <f t="shared" si="38"/>
        <v xml:space="preserve"> </v>
      </c>
      <c r="Z54" s="417"/>
      <c r="AA54" s="417"/>
      <c r="AB54" s="214" t="str">
        <f t="shared" si="39"/>
        <v/>
      </c>
      <c r="AC54" s="212" t="str">
        <f t="shared" si="19"/>
        <v/>
      </c>
      <c r="AD54" s="212" t="str">
        <f t="shared" si="40"/>
        <v/>
      </c>
      <c r="AE54" s="111" t="b">
        <f t="shared" si="21"/>
        <v>0</v>
      </c>
      <c r="AF54" s="111" t="b">
        <f t="shared" si="22"/>
        <v>0</v>
      </c>
      <c r="AG54" s="125" t="str">
        <f t="shared" si="23"/>
        <v xml:space="preserve"> </v>
      </c>
      <c r="AH54" s="111" t="str">
        <f t="shared" si="24"/>
        <v/>
      </c>
      <c r="AI54" s="111"/>
      <c r="AJ54" s="111" t="str">
        <f t="shared" si="25"/>
        <v/>
      </c>
      <c r="AK54" s="111" t="e">
        <f t="shared" si="26"/>
        <v>#N/A</v>
      </c>
      <c r="AL54" s="111" t="e">
        <f t="shared" si="27"/>
        <v>#N/A</v>
      </c>
      <c r="AM54" s="111" t="str">
        <f t="shared" si="28"/>
        <v/>
      </c>
      <c r="AN54" s="111" t="str">
        <f t="shared" si="29"/>
        <v/>
      </c>
      <c r="AO54" s="111" t="str">
        <f t="shared" si="30"/>
        <v xml:space="preserve"> </v>
      </c>
      <c r="AP54" s="287" t="str">
        <f t="shared" si="31"/>
        <v xml:space="preserve"> </v>
      </c>
      <c r="AQ54" s="224" t="str">
        <f t="shared" si="32"/>
        <v xml:space="preserve"> </v>
      </c>
      <c r="AR54" s="111" t="str">
        <f t="shared" si="33"/>
        <v/>
      </c>
      <c r="AS54" s="181" t="str">
        <f t="shared" si="34"/>
        <v/>
      </c>
      <c r="AT54" s="24" t="str">
        <f t="shared" si="35"/>
        <v/>
      </c>
      <c r="AU54" s="24" t="str">
        <f t="shared" si="41"/>
        <v/>
      </c>
      <c r="AV54" s="58" t="s">
        <v>159</v>
      </c>
      <c r="AW54" s="177">
        <v>19.989999999999998</v>
      </c>
      <c r="AX54" s="288">
        <v>71.450184922943663</v>
      </c>
      <c r="AY54" s="288">
        <f>$AY$46*AX54</f>
        <v>53.587638692207747</v>
      </c>
      <c r="AZ54" s="180" t="s">
        <v>111</v>
      </c>
      <c r="BA54" s="75"/>
      <c r="BB54" s="58" t="s">
        <v>160</v>
      </c>
      <c r="BC54" s="293">
        <v>2.5</v>
      </c>
      <c r="BD54" s="293">
        <v>2.9990000000000001</v>
      </c>
      <c r="BE54" s="24">
        <f t="shared" si="15"/>
        <v>27000</v>
      </c>
      <c r="BF54" s="24">
        <f t="shared" si="16"/>
        <v>39586.80000000001</v>
      </c>
      <c r="BT54" s="331" t="s">
        <v>148</v>
      </c>
      <c r="BU54" s="331" t="s">
        <v>148</v>
      </c>
      <c r="BV54" s="332" t="s">
        <v>157</v>
      </c>
      <c r="BY54" s="338" t="s">
        <v>150</v>
      </c>
      <c r="BZ54" s="334" t="s">
        <v>158</v>
      </c>
    </row>
    <row r="55" spans="1:257" s="24" customFormat="1" ht="13">
      <c r="A55" s="429"/>
      <c r="B55" s="431"/>
      <c r="C55" s="431"/>
      <c r="D55" s="431"/>
      <c r="E55" s="431"/>
      <c r="F55" s="432"/>
      <c r="G55" s="381"/>
      <c r="H55" s="433"/>
      <c r="I55" s="433"/>
      <c r="J55" s="428"/>
      <c r="K55" s="381"/>
      <c r="L55" s="428"/>
      <c r="M55" s="426"/>
      <c r="N55" s="427"/>
      <c r="O55" s="505"/>
      <c r="P55" s="506"/>
      <c r="Q55" s="423" t="str">
        <f t="shared" si="36"/>
        <v/>
      </c>
      <c r="R55" s="423"/>
      <c r="S55" s="419" t="str">
        <f t="shared" si="37"/>
        <v xml:space="preserve"> </v>
      </c>
      <c r="T55" s="419"/>
      <c r="U55" s="418"/>
      <c r="V55" s="452"/>
      <c r="W55" s="420"/>
      <c r="X55" s="451"/>
      <c r="Y55" s="417" t="str">
        <f t="shared" si="38"/>
        <v xml:space="preserve"> </v>
      </c>
      <c r="Z55" s="417"/>
      <c r="AA55" s="417"/>
      <c r="AB55" s="214" t="str">
        <f t="shared" si="39"/>
        <v/>
      </c>
      <c r="AC55" s="212" t="str">
        <f t="shared" si="19"/>
        <v/>
      </c>
      <c r="AD55" s="212" t="str">
        <f t="shared" si="40"/>
        <v/>
      </c>
      <c r="AE55" s="111" t="b">
        <f t="shared" si="21"/>
        <v>0</v>
      </c>
      <c r="AF55" s="111" t="b">
        <f t="shared" si="22"/>
        <v>0</v>
      </c>
      <c r="AG55" s="125" t="str">
        <f t="shared" si="23"/>
        <v xml:space="preserve"> </v>
      </c>
      <c r="AH55" s="111" t="str">
        <f t="shared" si="24"/>
        <v/>
      </c>
      <c r="AI55" s="111"/>
      <c r="AJ55" s="111" t="str">
        <f t="shared" si="25"/>
        <v/>
      </c>
      <c r="AK55" s="111" t="e">
        <f t="shared" si="26"/>
        <v>#N/A</v>
      </c>
      <c r="AL55" s="111" t="e">
        <f t="shared" si="27"/>
        <v>#N/A</v>
      </c>
      <c r="AM55" s="111" t="str">
        <f t="shared" si="28"/>
        <v/>
      </c>
      <c r="AN55" s="111" t="str">
        <f t="shared" si="29"/>
        <v/>
      </c>
      <c r="AO55" s="111" t="str">
        <f t="shared" si="30"/>
        <v xml:space="preserve"> </v>
      </c>
      <c r="AP55" s="287" t="str">
        <f t="shared" si="31"/>
        <v xml:space="preserve"> </v>
      </c>
      <c r="AQ55" s="224" t="str">
        <f t="shared" si="32"/>
        <v xml:space="preserve"> </v>
      </c>
      <c r="AR55" s="111" t="str">
        <f t="shared" si="33"/>
        <v/>
      </c>
      <c r="AS55" s="181" t="str">
        <f t="shared" si="34"/>
        <v/>
      </c>
      <c r="AT55" s="24" t="str">
        <f t="shared" si="35"/>
        <v/>
      </c>
      <c r="AU55" s="24" t="str">
        <f t="shared" si="41"/>
        <v/>
      </c>
      <c r="AV55" s="24" t="s">
        <v>161</v>
      </c>
      <c r="AW55" s="177">
        <v>63.29</v>
      </c>
      <c r="AX55" s="288">
        <v>146.91808541146293</v>
      </c>
      <c r="AY55" s="288">
        <f>$AY$46*AX55</f>
        <v>110.18856405859719</v>
      </c>
      <c r="AZ55" s="180" t="s">
        <v>139</v>
      </c>
      <c r="BA55" s="75"/>
      <c r="BB55" s="61" t="s">
        <v>162</v>
      </c>
      <c r="BC55" s="293">
        <v>2.5</v>
      </c>
      <c r="BD55" s="293">
        <v>2.9990000000000001</v>
      </c>
      <c r="BE55" s="24">
        <f t="shared" si="15"/>
        <v>27000</v>
      </c>
      <c r="BF55" s="24">
        <f t="shared" si="16"/>
        <v>39586.80000000001</v>
      </c>
      <c r="BT55" s="331" t="s">
        <v>148</v>
      </c>
      <c r="BU55" s="331" t="s">
        <v>148</v>
      </c>
      <c r="BV55" s="24" t="s">
        <v>154</v>
      </c>
      <c r="CB55" s="333">
        <v>10</v>
      </c>
      <c r="CC55" s="333">
        <v>15</v>
      </c>
      <c r="CD55" s="333">
        <v>22</v>
      </c>
    </row>
    <row r="56" spans="1:257" s="24" customFormat="1" ht="13">
      <c r="A56" s="429"/>
      <c r="B56" s="431"/>
      <c r="C56" s="431"/>
      <c r="D56" s="431"/>
      <c r="E56" s="431"/>
      <c r="F56" s="432"/>
      <c r="G56" s="381"/>
      <c r="H56" s="433"/>
      <c r="I56" s="433"/>
      <c r="J56" s="428"/>
      <c r="K56" s="381"/>
      <c r="L56" s="428"/>
      <c r="M56" s="426"/>
      <c r="N56" s="427"/>
      <c r="O56" s="505"/>
      <c r="P56" s="506"/>
      <c r="Q56" s="423" t="str">
        <f t="shared" si="36"/>
        <v/>
      </c>
      <c r="R56" s="423"/>
      <c r="S56" s="419" t="str">
        <f t="shared" si="37"/>
        <v xml:space="preserve"> </v>
      </c>
      <c r="T56" s="419"/>
      <c r="U56" s="418"/>
      <c r="V56" s="452"/>
      <c r="W56" s="420"/>
      <c r="X56" s="451"/>
      <c r="Y56" s="417" t="str">
        <f t="shared" si="38"/>
        <v xml:space="preserve"> </v>
      </c>
      <c r="Z56" s="417"/>
      <c r="AA56" s="417"/>
      <c r="AB56" s="214" t="str">
        <f t="shared" si="39"/>
        <v/>
      </c>
      <c r="AC56" s="212" t="str">
        <f t="shared" si="19"/>
        <v/>
      </c>
      <c r="AD56" s="212" t="str">
        <f t="shared" si="40"/>
        <v/>
      </c>
      <c r="AE56" s="111" t="b">
        <f t="shared" si="21"/>
        <v>0</v>
      </c>
      <c r="AF56" s="111" t="b">
        <f t="shared" si="22"/>
        <v>0</v>
      </c>
      <c r="AG56" s="125" t="str">
        <f t="shared" si="23"/>
        <v xml:space="preserve"> </v>
      </c>
      <c r="AH56" s="111" t="str">
        <f t="shared" si="24"/>
        <v/>
      </c>
      <c r="AI56" s="111"/>
      <c r="AJ56" s="111" t="str">
        <f t="shared" si="25"/>
        <v/>
      </c>
      <c r="AK56" s="111" t="e">
        <f t="shared" si="26"/>
        <v>#N/A</v>
      </c>
      <c r="AL56" s="111" t="e">
        <f t="shared" si="27"/>
        <v>#N/A</v>
      </c>
      <c r="AM56" s="111" t="str">
        <f t="shared" si="28"/>
        <v/>
      </c>
      <c r="AN56" s="111" t="str">
        <f t="shared" si="29"/>
        <v/>
      </c>
      <c r="AO56" s="111" t="str">
        <f t="shared" si="30"/>
        <v xml:space="preserve"> </v>
      </c>
      <c r="AP56" s="287" t="str">
        <f t="shared" si="31"/>
        <v xml:space="preserve"> </v>
      </c>
      <c r="AQ56" s="224" t="str">
        <f t="shared" si="32"/>
        <v xml:space="preserve"> </v>
      </c>
      <c r="AR56" s="111" t="str">
        <f t="shared" si="33"/>
        <v/>
      </c>
      <c r="AS56" s="181" t="str">
        <f t="shared" si="34"/>
        <v/>
      </c>
      <c r="AT56" s="24" t="str">
        <f t="shared" si="35"/>
        <v/>
      </c>
      <c r="AU56" s="24" t="str">
        <f t="shared" si="41"/>
        <v/>
      </c>
      <c r="AV56" s="58" t="s">
        <v>163</v>
      </c>
      <c r="AW56" s="177">
        <v>10000</v>
      </c>
      <c r="AX56" s="288">
        <v>146.91808541146293</v>
      </c>
      <c r="AY56" s="288">
        <f>$AY$46*AX56</f>
        <v>110.18856405859719</v>
      </c>
      <c r="AZ56" s="180" t="s">
        <v>146</v>
      </c>
      <c r="BA56" s="75"/>
      <c r="BB56" s="61" t="s">
        <v>164</v>
      </c>
      <c r="BC56" s="293">
        <v>3</v>
      </c>
      <c r="BD56" s="293">
        <v>3.4990000000000001</v>
      </c>
      <c r="BE56" s="24">
        <f t="shared" si="15"/>
        <v>32400.000000000004</v>
      </c>
      <c r="BF56" s="24">
        <f t="shared" si="16"/>
        <v>46186.8</v>
      </c>
      <c r="BT56" s="331" t="s">
        <v>148</v>
      </c>
      <c r="BU56" s="331" t="s">
        <v>148</v>
      </c>
      <c r="BV56" s="24" t="s">
        <v>165</v>
      </c>
      <c r="BY56" s="338" t="s">
        <v>150</v>
      </c>
      <c r="BZ56" s="334" t="s">
        <v>166</v>
      </c>
      <c r="CB56" s="333">
        <v>10</v>
      </c>
      <c r="CC56" s="333">
        <v>15</v>
      </c>
      <c r="CD56" s="333">
        <v>60</v>
      </c>
      <c r="CF56" s="340" t="s">
        <v>167</v>
      </c>
      <c r="CG56" s="331" t="s">
        <v>148</v>
      </c>
      <c r="CH56" s="339" t="s">
        <v>168</v>
      </c>
      <c r="CI56" s="334" t="s">
        <v>169</v>
      </c>
    </row>
    <row r="57" spans="1:257" s="24" customFormat="1" ht="13">
      <c r="A57" s="429"/>
      <c r="B57" s="431"/>
      <c r="C57" s="431"/>
      <c r="D57" s="431"/>
      <c r="E57" s="431"/>
      <c r="F57" s="432"/>
      <c r="G57" s="381"/>
      <c r="H57" s="433"/>
      <c r="I57" s="433"/>
      <c r="J57" s="428"/>
      <c r="K57" s="381"/>
      <c r="L57" s="428"/>
      <c r="M57" s="426"/>
      <c r="N57" s="427"/>
      <c r="O57" s="505"/>
      <c r="P57" s="506"/>
      <c r="Q57" s="423" t="str">
        <f t="shared" si="36"/>
        <v/>
      </c>
      <c r="R57" s="423"/>
      <c r="S57" s="419" t="str">
        <f t="shared" si="37"/>
        <v xml:space="preserve"> </v>
      </c>
      <c r="T57" s="419"/>
      <c r="U57" s="418"/>
      <c r="V57" s="452"/>
      <c r="W57" s="420"/>
      <c r="X57" s="451"/>
      <c r="Y57" s="417" t="str">
        <f t="shared" si="38"/>
        <v xml:space="preserve"> </v>
      </c>
      <c r="Z57" s="417"/>
      <c r="AA57" s="417"/>
      <c r="AB57" s="214" t="str">
        <f t="shared" si="39"/>
        <v/>
      </c>
      <c r="AC57" s="212" t="str">
        <f t="shared" si="19"/>
        <v/>
      </c>
      <c r="AD57" s="212" t="str">
        <f t="shared" si="40"/>
        <v/>
      </c>
      <c r="AE57" s="111" t="b">
        <f t="shared" si="21"/>
        <v>0</v>
      </c>
      <c r="AF57" s="111" t="b">
        <f t="shared" si="22"/>
        <v>0</v>
      </c>
      <c r="AG57" s="125" t="str">
        <f t="shared" si="23"/>
        <v xml:space="preserve"> </v>
      </c>
      <c r="AH57" s="111" t="str">
        <f t="shared" si="24"/>
        <v/>
      </c>
      <c r="AI57" s="111"/>
      <c r="AJ57" s="111" t="str">
        <f t="shared" si="25"/>
        <v/>
      </c>
      <c r="AK57" s="111" t="e">
        <f t="shared" si="26"/>
        <v>#N/A</v>
      </c>
      <c r="AL57" s="111" t="e">
        <f t="shared" si="27"/>
        <v>#N/A</v>
      </c>
      <c r="AM57" s="111" t="str">
        <f t="shared" si="28"/>
        <v/>
      </c>
      <c r="AN57" s="111" t="str">
        <f t="shared" si="29"/>
        <v/>
      </c>
      <c r="AO57" s="111" t="str">
        <f t="shared" si="30"/>
        <v xml:space="preserve"> </v>
      </c>
      <c r="AP57" s="287" t="str">
        <f t="shared" si="31"/>
        <v xml:space="preserve"> </v>
      </c>
      <c r="AQ57" s="224" t="str">
        <f t="shared" si="32"/>
        <v xml:space="preserve"> </v>
      </c>
      <c r="AR57" s="111" t="str">
        <f t="shared" si="33"/>
        <v/>
      </c>
      <c r="AS57" s="181" t="str">
        <f t="shared" si="34"/>
        <v/>
      </c>
      <c r="AT57" s="24" t="str">
        <f t="shared" si="35"/>
        <v/>
      </c>
      <c r="AU57" s="24" t="str">
        <f t="shared" si="41"/>
        <v/>
      </c>
      <c r="BB57" s="61" t="s">
        <v>170</v>
      </c>
      <c r="BC57" s="293">
        <v>3</v>
      </c>
      <c r="BD57" s="293">
        <v>3.4990000000000001</v>
      </c>
      <c r="BE57" s="24">
        <f t="shared" si="15"/>
        <v>32400.000000000004</v>
      </c>
      <c r="BF57" s="24">
        <f t="shared" si="16"/>
        <v>46186.8</v>
      </c>
      <c r="BT57" s="332" t="s">
        <v>167</v>
      </c>
      <c r="BV57" s="332" t="s">
        <v>171</v>
      </c>
      <c r="BY57" s="337" t="s">
        <v>172</v>
      </c>
      <c r="BZ57" s="334" t="s">
        <v>173</v>
      </c>
      <c r="CB57" s="24" t="s">
        <v>174</v>
      </c>
    </row>
    <row r="58" spans="1:257" s="24" customFormat="1" ht="13">
      <c r="A58" s="429"/>
      <c r="B58" s="431"/>
      <c r="C58" s="431"/>
      <c r="D58" s="431"/>
      <c r="E58" s="431"/>
      <c r="F58" s="432"/>
      <c r="G58" s="381"/>
      <c r="H58" s="433"/>
      <c r="I58" s="433"/>
      <c r="J58" s="428"/>
      <c r="K58" s="381"/>
      <c r="L58" s="428"/>
      <c r="M58" s="426"/>
      <c r="N58" s="427"/>
      <c r="O58" s="505"/>
      <c r="P58" s="506"/>
      <c r="Q58" s="423" t="str">
        <f t="shared" si="36"/>
        <v/>
      </c>
      <c r="R58" s="423"/>
      <c r="S58" s="419" t="str">
        <f t="shared" si="37"/>
        <v xml:space="preserve"> </v>
      </c>
      <c r="T58" s="419"/>
      <c r="U58" s="418"/>
      <c r="V58" s="452"/>
      <c r="W58" s="420"/>
      <c r="X58" s="451"/>
      <c r="Y58" s="417" t="str">
        <f t="shared" si="38"/>
        <v xml:space="preserve"> </v>
      </c>
      <c r="Z58" s="417"/>
      <c r="AA58" s="417"/>
      <c r="AB58" s="214" t="str">
        <f t="shared" si="39"/>
        <v/>
      </c>
      <c r="AC58" s="212" t="str">
        <f t="shared" si="19"/>
        <v/>
      </c>
      <c r="AD58" s="212" t="str">
        <f t="shared" si="40"/>
        <v/>
      </c>
      <c r="AE58" s="111" t="b">
        <f t="shared" si="21"/>
        <v>0</v>
      </c>
      <c r="AF58" s="111" t="b">
        <f t="shared" si="22"/>
        <v>0</v>
      </c>
      <c r="AG58" s="125" t="str">
        <f t="shared" si="23"/>
        <v xml:space="preserve"> </v>
      </c>
      <c r="AH58" s="111" t="str">
        <f t="shared" si="24"/>
        <v/>
      </c>
      <c r="AI58" s="111"/>
      <c r="AJ58" s="111" t="str">
        <f t="shared" si="25"/>
        <v/>
      </c>
      <c r="AK58" s="111" t="e">
        <f t="shared" si="26"/>
        <v>#N/A</v>
      </c>
      <c r="AL58" s="111" t="e">
        <f t="shared" si="27"/>
        <v>#N/A</v>
      </c>
      <c r="AM58" s="111" t="str">
        <f t="shared" si="28"/>
        <v/>
      </c>
      <c r="AN58" s="111" t="str">
        <f t="shared" si="29"/>
        <v/>
      </c>
      <c r="AO58" s="111" t="str">
        <f t="shared" si="30"/>
        <v xml:space="preserve"> </v>
      </c>
      <c r="AP58" s="287" t="str">
        <f t="shared" si="31"/>
        <v xml:space="preserve"> </v>
      </c>
      <c r="AQ58" s="224" t="str">
        <f t="shared" si="32"/>
        <v xml:space="preserve"> </v>
      </c>
      <c r="AR58" s="111" t="str">
        <f t="shared" si="33"/>
        <v/>
      </c>
      <c r="AS58" s="181" t="str">
        <f t="shared" si="34"/>
        <v/>
      </c>
      <c r="AT58" s="24" t="str">
        <f t="shared" si="35"/>
        <v/>
      </c>
      <c r="AU58" s="24" t="str">
        <f t="shared" si="41"/>
        <v/>
      </c>
      <c r="AW58" s="24" t="s">
        <v>175</v>
      </c>
      <c r="AX58" s="24" t="s">
        <v>176</v>
      </c>
      <c r="AY58" s="24" t="s">
        <v>177</v>
      </c>
      <c r="AZ58" s="24" t="s">
        <v>178</v>
      </c>
      <c r="BB58" s="61" t="s">
        <v>179</v>
      </c>
      <c r="BC58" s="293">
        <v>3.5</v>
      </c>
      <c r="BD58" s="293">
        <v>3.9990000000000001</v>
      </c>
      <c r="BE58" s="24">
        <f t="shared" si="15"/>
        <v>37800</v>
      </c>
      <c r="BF58" s="24">
        <f t="shared" si="16"/>
        <v>52786.8</v>
      </c>
      <c r="BT58" s="332" t="s">
        <v>167</v>
      </c>
      <c r="BV58" s="332" t="s">
        <v>171</v>
      </c>
      <c r="BY58" s="337" t="s">
        <v>172</v>
      </c>
      <c r="BZ58" s="334" t="s">
        <v>173</v>
      </c>
      <c r="CB58" s="24" t="s">
        <v>174</v>
      </c>
    </row>
    <row r="59" spans="1:257" s="24" customFormat="1" ht="13">
      <c r="A59" s="429"/>
      <c r="B59" s="431"/>
      <c r="C59" s="431"/>
      <c r="D59" s="431"/>
      <c r="E59" s="431"/>
      <c r="F59" s="432"/>
      <c r="G59" s="381"/>
      <c r="H59" s="433"/>
      <c r="I59" s="433"/>
      <c r="J59" s="428"/>
      <c r="K59" s="381"/>
      <c r="L59" s="428"/>
      <c r="M59" s="426"/>
      <c r="N59" s="427"/>
      <c r="O59" s="505"/>
      <c r="P59" s="506"/>
      <c r="Q59" s="423" t="str">
        <f t="shared" si="36"/>
        <v/>
      </c>
      <c r="R59" s="423"/>
      <c r="S59" s="419" t="str">
        <f t="shared" si="37"/>
        <v xml:space="preserve"> </v>
      </c>
      <c r="T59" s="419"/>
      <c r="U59" s="418"/>
      <c r="V59" s="452"/>
      <c r="W59" s="420"/>
      <c r="X59" s="451"/>
      <c r="Y59" s="417" t="str">
        <f t="shared" si="38"/>
        <v xml:space="preserve"> </v>
      </c>
      <c r="Z59" s="417"/>
      <c r="AA59" s="417"/>
      <c r="AB59" s="214" t="str">
        <f t="shared" si="39"/>
        <v/>
      </c>
      <c r="AC59" s="212" t="str">
        <f t="shared" si="19"/>
        <v/>
      </c>
      <c r="AD59" s="212" t="str">
        <f t="shared" si="40"/>
        <v/>
      </c>
      <c r="AE59" s="111" t="b">
        <f t="shared" si="21"/>
        <v>0</v>
      </c>
      <c r="AF59" s="111" t="b">
        <f t="shared" si="22"/>
        <v>0</v>
      </c>
      <c r="AG59" s="125" t="str">
        <f t="shared" si="23"/>
        <v xml:space="preserve"> </v>
      </c>
      <c r="AH59" s="111" t="str">
        <f t="shared" si="24"/>
        <v/>
      </c>
      <c r="AI59" s="111"/>
      <c r="AJ59" s="111" t="str">
        <f t="shared" si="25"/>
        <v/>
      </c>
      <c r="AK59" s="111" t="e">
        <f t="shared" si="26"/>
        <v>#N/A</v>
      </c>
      <c r="AL59" s="111" t="e">
        <f t="shared" si="27"/>
        <v>#N/A</v>
      </c>
      <c r="AM59" s="111" t="str">
        <f t="shared" si="28"/>
        <v/>
      </c>
      <c r="AN59" s="111" t="str">
        <f t="shared" si="29"/>
        <v/>
      </c>
      <c r="AO59" s="111" t="str">
        <f t="shared" si="30"/>
        <v xml:space="preserve"> </v>
      </c>
      <c r="AP59" s="287" t="str">
        <f t="shared" si="31"/>
        <v xml:space="preserve"> </v>
      </c>
      <c r="AQ59" s="224" t="str">
        <f t="shared" si="32"/>
        <v xml:space="preserve"> </v>
      </c>
      <c r="AR59" s="111" t="str">
        <f t="shared" si="33"/>
        <v/>
      </c>
      <c r="AS59" s="181" t="str">
        <f t="shared" si="34"/>
        <v/>
      </c>
      <c r="AT59" s="24" t="str">
        <f t="shared" si="35"/>
        <v/>
      </c>
      <c r="AU59" s="24" t="str">
        <f t="shared" si="41"/>
        <v/>
      </c>
      <c r="AV59" s="257" t="s">
        <v>180</v>
      </c>
      <c r="AW59" s="273">
        <v>83.085576919999994</v>
      </c>
      <c r="AX59" s="273">
        <v>155.97692309999999</v>
      </c>
      <c r="AY59" s="257">
        <f>AW59*0.75</f>
        <v>62.314182689999996</v>
      </c>
      <c r="AZ59" s="257">
        <f>AX59*0.75</f>
        <v>116.98269232499999</v>
      </c>
      <c r="BA59" s="75"/>
      <c r="BB59" s="61" t="s">
        <v>181</v>
      </c>
      <c r="BC59" s="293">
        <v>3.5</v>
      </c>
      <c r="BD59" s="293">
        <v>3.9990000000000001</v>
      </c>
      <c r="BE59" s="24">
        <f t="shared" si="15"/>
        <v>37800</v>
      </c>
      <c r="BF59" s="24">
        <f t="shared" si="16"/>
        <v>52786.8</v>
      </c>
      <c r="BT59" s="331" t="s">
        <v>148</v>
      </c>
      <c r="BU59" s="331" t="s">
        <v>148</v>
      </c>
      <c r="BV59" s="332" t="s">
        <v>182</v>
      </c>
      <c r="BY59" s="338" t="s">
        <v>150</v>
      </c>
      <c r="BZ59" s="334" t="s">
        <v>183</v>
      </c>
      <c r="CC59" s="333">
        <v>100</v>
      </c>
      <c r="CD59" s="333">
        <v>200</v>
      </c>
      <c r="CE59" s="333">
        <v>350</v>
      </c>
      <c r="CF59" s="333">
        <v>500</v>
      </c>
      <c r="CG59" s="333">
        <v>1000</v>
      </c>
    </row>
    <row r="60" spans="1:257" s="24" customFormat="1" ht="13">
      <c r="A60" s="429"/>
      <c r="B60" s="431"/>
      <c r="C60" s="431"/>
      <c r="D60" s="431"/>
      <c r="E60" s="431"/>
      <c r="F60" s="432"/>
      <c r="G60" s="381"/>
      <c r="H60" s="433"/>
      <c r="I60" s="433"/>
      <c r="J60" s="428"/>
      <c r="K60" s="381"/>
      <c r="L60" s="428"/>
      <c r="M60" s="426"/>
      <c r="N60" s="427"/>
      <c r="O60" s="505"/>
      <c r="P60" s="506"/>
      <c r="Q60" s="423" t="str">
        <f t="shared" si="36"/>
        <v/>
      </c>
      <c r="R60" s="423"/>
      <c r="S60" s="419" t="str">
        <f t="shared" si="37"/>
        <v xml:space="preserve"> </v>
      </c>
      <c r="T60" s="419"/>
      <c r="U60" s="418"/>
      <c r="V60" s="452"/>
      <c r="W60" s="420"/>
      <c r="X60" s="451"/>
      <c r="Y60" s="417" t="str">
        <f t="shared" si="38"/>
        <v xml:space="preserve"> </v>
      </c>
      <c r="Z60" s="417"/>
      <c r="AA60" s="417"/>
      <c r="AB60" s="214" t="str">
        <f t="shared" si="39"/>
        <v/>
      </c>
      <c r="AC60" s="212" t="str">
        <f t="shared" si="19"/>
        <v/>
      </c>
      <c r="AD60" s="212" t="str">
        <f t="shared" si="40"/>
        <v/>
      </c>
      <c r="AE60" s="111" t="b">
        <f t="shared" si="21"/>
        <v>0</v>
      </c>
      <c r="AF60" s="111" t="b">
        <f t="shared" si="22"/>
        <v>0</v>
      </c>
      <c r="AG60" s="125" t="str">
        <f t="shared" si="23"/>
        <v xml:space="preserve"> </v>
      </c>
      <c r="AH60" s="111" t="str">
        <f t="shared" si="24"/>
        <v/>
      </c>
      <c r="AI60" s="111"/>
      <c r="AJ60" s="111" t="str">
        <f t="shared" si="25"/>
        <v/>
      </c>
      <c r="AK60" s="111" t="e">
        <f t="shared" si="26"/>
        <v>#N/A</v>
      </c>
      <c r="AL60" s="111" t="e">
        <f t="shared" si="27"/>
        <v>#N/A</v>
      </c>
      <c r="AM60" s="111" t="str">
        <f t="shared" si="28"/>
        <v/>
      </c>
      <c r="AN60" s="111" t="str">
        <f t="shared" si="29"/>
        <v/>
      </c>
      <c r="AO60" s="111" t="str">
        <f t="shared" si="30"/>
        <v xml:space="preserve"> </v>
      </c>
      <c r="AP60" s="287" t="str">
        <f t="shared" si="31"/>
        <v xml:space="preserve"> </v>
      </c>
      <c r="AQ60" s="224" t="str">
        <f t="shared" si="32"/>
        <v xml:space="preserve"> </v>
      </c>
      <c r="AR60" s="111" t="str">
        <f t="shared" si="33"/>
        <v/>
      </c>
      <c r="AS60" s="181" t="str">
        <f t="shared" si="34"/>
        <v/>
      </c>
      <c r="AT60" s="24" t="str">
        <f t="shared" si="35"/>
        <v/>
      </c>
      <c r="AU60" s="24" t="str">
        <f t="shared" si="41"/>
        <v/>
      </c>
      <c r="AV60" s="257" t="s">
        <v>184</v>
      </c>
      <c r="AW60" s="273">
        <v>61.565884619999999</v>
      </c>
      <c r="AX60" s="273">
        <v>105.7175481</v>
      </c>
      <c r="AY60" s="257">
        <f t="shared" ref="AY60:AY70" si="42">AW60*0.75</f>
        <v>46.174413465000001</v>
      </c>
      <c r="AZ60" s="257">
        <f t="shared" ref="AZ60:AZ70" si="43">AX60*0.75</f>
        <v>79.288161075000005</v>
      </c>
      <c r="BA60" s="75"/>
      <c r="BB60" s="61" t="s">
        <v>185</v>
      </c>
      <c r="BC60" s="293">
        <v>4</v>
      </c>
      <c r="BD60" s="293">
        <v>4.9989999999999997</v>
      </c>
      <c r="BE60" s="24">
        <f t="shared" si="15"/>
        <v>43200</v>
      </c>
      <c r="BF60" s="24">
        <f t="shared" si="16"/>
        <v>65986.8</v>
      </c>
      <c r="BT60" s="331" t="s">
        <v>148</v>
      </c>
      <c r="BU60" s="331" t="s">
        <v>148</v>
      </c>
      <c r="CB60" s="333">
        <v>50</v>
      </c>
      <c r="CC60" s="333">
        <v>100</v>
      </c>
      <c r="CD60" s="333">
        <v>200</v>
      </c>
      <c r="CF60" s="333">
        <v>500</v>
      </c>
      <c r="CG60" s="333">
        <v>1000</v>
      </c>
    </row>
    <row r="61" spans="1:257" s="24" customFormat="1" ht="13">
      <c r="A61" s="429"/>
      <c r="B61" s="431"/>
      <c r="C61" s="431"/>
      <c r="D61" s="431"/>
      <c r="E61" s="431"/>
      <c r="F61" s="432"/>
      <c r="G61" s="381"/>
      <c r="H61" s="433"/>
      <c r="I61" s="433"/>
      <c r="J61" s="428"/>
      <c r="K61" s="381"/>
      <c r="L61" s="428"/>
      <c r="M61" s="426"/>
      <c r="N61" s="427"/>
      <c r="O61" s="505"/>
      <c r="P61" s="506"/>
      <c r="Q61" s="423" t="str">
        <f t="shared" si="36"/>
        <v/>
      </c>
      <c r="R61" s="423"/>
      <c r="S61" s="419" t="str">
        <f t="shared" si="37"/>
        <v xml:space="preserve"> </v>
      </c>
      <c r="T61" s="419"/>
      <c r="U61" s="418"/>
      <c r="V61" s="452"/>
      <c r="W61" s="420"/>
      <c r="X61" s="451"/>
      <c r="Y61" s="417" t="str">
        <f t="shared" si="38"/>
        <v xml:space="preserve"> </v>
      </c>
      <c r="Z61" s="417"/>
      <c r="AA61" s="417"/>
      <c r="AB61" s="214" t="str">
        <f t="shared" si="39"/>
        <v/>
      </c>
      <c r="AC61" s="212" t="str">
        <f t="shared" si="19"/>
        <v/>
      </c>
      <c r="AD61" s="212" t="str">
        <f t="shared" si="40"/>
        <v/>
      </c>
      <c r="AE61" s="111" t="b">
        <f t="shared" si="21"/>
        <v>0</v>
      </c>
      <c r="AF61" s="111" t="b">
        <f t="shared" si="22"/>
        <v>0</v>
      </c>
      <c r="AG61" s="125" t="str">
        <f t="shared" si="23"/>
        <v xml:space="preserve"> </v>
      </c>
      <c r="AH61" s="111" t="str">
        <f t="shared" si="24"/>
        <v/>
      </c>
      <c r="AI61" s="111"/>
      <c r="AJ61" s="111" t="str">
        <f t="shared" si="25"/>
        <v/>
      </c>
      <c r="AK61" s="111" t="e">
        <f t="shared" si="26"/>
        <v>#N/A</v>
      </c>
      <c r="AL61" s="111" t="e">
        <f t="shared" si="27"/>
        <v>#N/A</v>
      </c>
      <c r="AM61" s="111" t="str">
        <f t="shared" si="28"/>
        <v/>
      </c>
      <c r="AN61" s="111" t="str">
        <f t="shared" si="29"/>
        <v/>
      </c>
      <c r="AO61" s="111" t="str">
        <f t="shared" si="30"/>
        <v xml:space="preserve"> </v>
      </c>
      <c r="AP61" s="287" t="str">
        <f t="shared" si="31"/>
        <v xml:space="preserve"> </v>
      </c>
      <c r="AQ61" s="224" t="str">
        <f t="shared" si="32"/>
        <v xml:space="preserve"> </v>
      </c>
      <c r="AR61" s="111" t="str">
        <f t="shared" si="33"/>
        <v/>
      </c>
      <c r="AS61" s="181" t="str">
        <f t="shared" si="34"/>
        <v/>
      </c>
      <c r="AT61" s="24" t="str">
        <f t="shared" si="35"/>
        <v/>
      </c>
      <c r="AU61" s="24" t="str">
        <f t="shared" si="41"/>
        <v/>
      </c>
      <c r="AV61" s="257" t="s">
        <v>186</v>
      </c>
      <c r="AW61" s="290">
        <v>61.415666209999998</v>
      </c>
      <c r="AX61" s="174">
        <v>90.426820050000003</v>
      </c>
      <c r="AY61" s="257">
        <f t="shared" si="42"/>
        <v>46.061749657500002</v>
      </c>
      <c r="AZ61" s="257">
        <f t="shared" si="43"/>
        <v>67.820115037500003</v>
      </c>
      <c r="BA61" s="75"/>
      <c r="BB61" s="58" t="s">
        <v>187</v>
      </c>
      <c r="BC61" s="293">
        <v>4</v>
      </c>
      <c r="BD61" s="293">
        <v>4.9989999999999997</v>
      </c>
      <c r="BE61" s="24">
        <f t="shared" si="15"/>
        <v>43200</v>
      </c>
      <c r="BF61" s="24">
        <f t="shared" si="16"/>
        <v>65986.8</v>
      </c>
    </row>
    <row r="62" spans="1:257" s="24" customFormat="1" ht="13">
      <c r="A62" s="429"/>
      <c r="B62" s="431"/>
      <c r="C62" s="431"/>
      <c r="D62" s="431"/>
      <c r="E62" s="431"/>
      <c r="F62" s="432"/>
      <c r="G62" s="430"/>
      <c r="H62" s="430"/>
      <c r="I62" s="430"/>
      <c r="J62" s="430"/>
      <c r="K62" s="381"/>
      <c r="L62" s="381"/>
      <c r="M62" s="435"/>
      <c r="N62" s="435"/>
      <c r="O62" s="505"/>
      <c r="P62" s="506"/>
      <c r="Q62" s="423" t="str">
        <f t="shared" si="36"/>
        <v/>
      </c>
      <c r="R62" s="423"/>
      <c r="S62" s="419" t="str">
        <f t="shared" si="37"/>
        <v xml:space="preserve"> </v>
      </c>
      <c r="T62" s="419"/>
      <c r="U62" s="418"/>
      <c r="V62" s="418"/>
      <c r="W62" s="420"/>
      <c r="X62" s="420"/>
      <c r="Y62" s="417" t="str">
        <f t="shared" si="38"/>
        <v xml:space="preserve"> </v>
      </c>
      <c r="Z62" s="417"/>
      <c r="AA62" s="417"/>
      <c r="AB62" s="214" t="str">
        <f t="shared" si="39"/>
        <v/>
      </c>
      <c r="AC62" s="212" t="str">
        <f t="shared" si="19"/>
        <v/>
      </c>
      <c r="AD62" s="212" t="str">
        <f t="shared" si="40"/>
        <v/>
      </c>
      <c r="AE62" s="111" t="b">
        <f t="shared" si="21"/>
        <v>0</v>
      </c>
      <c r="AF62" s="111" t="b">
        <f t="shared" si="22"/>
        <v>0</v>
      </c>
      <c r="AG62" s="125" t="str">
        <f t="shared" si="23"/>
        <v xml:space="preserve"> </v>
      </c>
      <c r="AH62" s="111" t="str">
        <f t="shared" si="24"/>
        <v/>
      </c>
      <c r="AI62" s="111"/>
      <c r="AJ62" s="111" t="str">
        <f t="shared" si="25"/>
        <v/>
      </c>
      <c r="AK62" s="111" t="e">
        <f t="shared" si="26"/>
        <v>#N/A</v>
      </c>
      <c r="AL62" s="111" t="e">
        <f t="shared" si="27"/>
        <v>#N/A</v>
      </c>
      <c r="AM62" s="111" t="str">
        <f t="shared" si="28"/>
        <v/>
      </c>
      <c r="AN62" s="111" t="str">
        <f t="shared" si="29"/>
        <v/>
      </c>
      <c r="AO62" s="111" t="str">
        <f t="shared" si="30"/>
        <v xml:space="preserve"> </v>
      </c>
      <c r="AP62" s="287" t="str">
        <f t="shared" si="31"/>
        <v xml:space="preserve"> </v>
      </c>
      <c r="AQ62" s="224" t="str">
        <f t="shared" si="32"/>
        <v xml:space="preserve"> </v>
      </c>
      <c r="AR62" s="111" t="str">
        <f t="shared" si="33"/>
        <v/>
      </c>
      <c r="AS62" s="181" t="str">
        <f t="shared" si="34"/>
        <v/>
      </c>
      <c r="AT62" s="24" t="str">
        <f t="shared" si="35"/>
        <v/>
      </c>
      <c r="AU62" s="24" t="str">
        <f t="shared" si="41"/>
        <v/>
      </c>
      <c r="AV62" s="257" t="s">
        <v>188</v>
      </c>
      <c r="AW62" s="174">
        <v>42.94985294</v>
      </c>
      <c r="AX62" s="174">
        <v>94.244915160000005</v>
      </c>
      <c r="AY62" s="257">
        <f t="shared" si="42"/>
        <v>32.212389705</v>
      </c>
      <c r="AZ62" s="257">
        <f t="shared" si="43"/>
        <v>70.683686370000004</v>
      </c>
      <c r="BA62" s="75"/>
      <c r="BB62" s="58" t="s">
        <v>189</v>
      </c>
      <c r="BC62" s="293">
        <v>5</v>
      </c>
      <c r="BD62" s="293">
        <v>5.9989999999999997</v>
      </c>
      <c r="BE62" s="24">
        <f t="shared" si="15"/>
        <v>54000</v>
      </c>
      <c r="BF62" s="24">
        <f t="shared" si="16"/>
        <v>79186.8</v>
      </c>
      <c r="BT62" s="331" t="s">
        <v>148</v>
      </c>
      <c r="BU62" s="331" t="s">
        <v>148</v>
      </c>
      <c r="CB62" s="333">
        <v>100</v>
      </c>
      <c r="CC62" s="333">
        <v>200</v>
      </c>
    </row>
    <row r="63" spans="1:257" s="115" customFormat="1" ht="13">
      <c r="A63" s="429"/>
      <c r="B63" s="431"/>
      <c r="C63" s="431"/>
      <c r="D63" s="431"/>
      <c r="E63" s="431"/>
      <c r="F63" s="432"/>
      <c r="G63" s="430"/>
      <c r="H63" s="430"/>
      <c r="I63" s="430"/>
      <c r="J63" s="430"/>
      <c r="K63" s="381"/>
      <c r="L63" s="381"/>
      <c r="M63" s="435"/>
      <c r="N63" s="435"/>
      <c r="O63" s="505"/>
      <c r="P63" s="506"/>
      <c r="Q63" s="423" t="str">
        <f t="shared" si="36"/>
        <v/>
      </c>
      <c r="R63" s="423"/>
      <c r="S63" s="419" t="str">
        <f t="shared" si="37"/>
        <v xml:space="preserve"> </v>
      </c>
      <c r="T63" s="419"/>
      <c r="U63" s="418"/>
      <c r="V63" s="418"/>
      <c r="W63" s="420"/>
      <c r="X63" s="420"/>
      <c r="Y63" s="417" t="str">
        <f t="shared" si="38"/>
        <v xml:space="preserve"> </v>
      </c>
      <c r="Z63" s="417"/>
      <c r="AA63" s="417"/>
      <c r="AB63" s="214" t="str">
        <f t="shared" si="39"/>
        <v/>
      </c>
      <c r="AC63" s="212" t="str">
        <f t="shared" si="19"/>
        <v/>
      </c>
      <c r="AD63" s="212" t="str">
        <f t="shared" si="40"/>
        <v/>
      </c>
      <c r="AE63" s="111" t="b">
        <f t="shared" si="21"/>
        <v>0</v>
      </c>
      <c r="AF63" s="111" t="b">
        <f t="shared" si="22"/>
        <v>0</v>
      </c>
      <c r="AG63" s="125" t="str">
        <f t="shared" si="23"/>
        <v xml:space="preserve"> </v>
      </c>
      <c r="AH63" s="111" t="str">
        <f t="shared" si="24"/>
        <v/>
      </c>
      <c r="AI63" s="111"/>
      <c r="AJ63" s="111" t="str">
        <f t="shared" si="25"/>
        <v/>
      </c>
      <c r="AK63" s="111" t="e">
        <f t="shared" si="26"/>
        <v>#N/A</v>
      </c>
      <c r="AL63" s="111" t="e">
        <f t="shared" si="27"/>
        <v>#N/A</v>
      </c>
      <c r="AM63" s="111" t="str">
        <f t="shared" si="28"/>
        <v/>
      </c>
      <c r="AN63" s="111" t="str">
        <f t="shared" si="29"/>
        <v/>
      </c>
      <c r="AO63" s="111" t="str">
        <f t="shared" si="30"/>
        <v xml:space="preserve"> </v>
      </c>
      <c r="AP63" s="287" t="str">
        <f t="shared" si="31"/>
        <v xml:space="preserve"> </v>
      </c>
      <c r="AQ63" s="224" t="str">
        <f t="shared" si="32"/>
        <v xml:space="preserve"> </v>
      </c>
      <c r="AR63" s="111" t="str">
        <f t="shared" si="33"/>
        <v/>
      </c>
      <c r="AS63" s="181" t="str">
        <f t="shared" si="34"/>
        <v/>
      </c>
      <c r="AT63" s="24" t="str">
        <f t="shared" si="35"/>
        <v/>
      </c>
      <c r="AU63" s="24" t="str">
        <f t="shared" si="41"/>
        <v/>
      </c>
      <c r="AV63" s="257" t="s">
        <v>190</v>
      </c>
      <c r="AW63" s="174">
        <v>26.324192310000001</v>
      </c>
      <c r="AX63" s="174">
        <v>74.847605770000001</v>
      </c>
      <c r="AY63" s="257">
        <f t="shared" si="42"/>
        <v>19.743144232500001</v>
      </c>
      <c r="AZ63" s="257">
        <f t="shared" si="43"/>
        <v>56.135704327500001</v>
      </c>
      <c r="BA63" s="54"/>
      <c r="BB63" s="58" t="s">
        <v>191</v>
      </c>
      <c r="BC63" s="293">
        <v>5</v>
      </c>
      <c r="BD63" s="293">
        <v>5.9989999999999997</v>
      </c>
      <c r="BE63" s="24">
        <f t="shared" si="15"/>
        <v>54000</v>
      </c>
      <c r="BF63" s="24">
        <f t="shared" si="16"/>
        <v>79186.8</v>
      </c>
      <c r="BG63" s="24"/>
      <c r="BH63" s="24"/>
      <c r="BI63" s="24"/>
      <c r="BJ63" s="24"/>
      <c r="BK63" s="24"/>
      <c r="BL63" s="24"/>
      <c r="BM63" s="24"/>
      <c r="BN63" s="24"/>
      <c r="BO63" s="24"/>
      <c r="BP63" s="24"/>
      <c r="BQ63" s="24"/>
      <c r="BR63" s="24"/>
      <c r="BS63" s="24"/>
      <c r="BT63" s="331" t="s">
        <v>148</v>
      </c>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row>
    <row r="64" spans="1:257" s="24" customFormat="1" ht="12.75" customHeight="1">
      <c r="A64" s="429"/>
      <c r="B64" s="431"/>
      <c r="C64" s="431"/>
      <c r="D64" s="431"/>
      <c r="E64" s="431"/>
      <c r="F64" s="432"/>
      <c r="G64" s="430"/>
      <c r="H64" s="430"/>
      <c r="I64" s="430"/>
      <c r="J64" s="430"/>
      <c r="K64" s="381"/>
      <c r="L64" s="381"/>
      <c r="M64" s="435"/>
      <c r="N64" s="435"/>
      <c r="O64" s="505"/>
      <c r="P64" s="506"/>
      <c r="Q64" s="423" t="str">
        <f t="shared" si="36"/>
        <v/>
      </c>
      <c r="R64" s="423"/>
      <c r="S64" s="419" t="str">
        <f t="shared" si="37"/>
        <v xml:space="preserve"> </v>
      </c>
      <c r="T64" s="419"/>
      <c r="U64" s="418"/>
      <c r="V64" s="418"/>
      <c r="W64" s="420"/>
      <c r="X64" s="420"/>
      <c r="Y64" s="417" t="str">
        <f t="shared" si="38"/>
        <v xml:space="preserve"> </v>
      </c>
      <c r="Z64" s="417"/>
      <c r="AA64" s="417"/>
      <c r="AB64" s="214" t="str">
        <f t="shared" si="39"/>
        <v/>
      </c>
      <c r="AC64" s="212" t="str">
        <f t="shared" si="19"/>
        <v/>
      </c>
      <c r="AD64" s="212" t="str">
        <f t="shared" si="40"/>
        <v/>
      </c>
      <c r="AE64" s="111" t="b">
        <f t="shared" si="21"/>
        <v>0</v>
      </c>
      <c r="AF64" s="111" t="b">
        <f t="shared" si="22"/>
        <v>0</v>
      </c>
      <c r="AG64" s="125" t="str">
        <f t="shared" si="23"/>
        <v xml:space="preserve"> </v>
      </c>
      <c r="AH64" s="111" t="str">
        <f t="shared" si="24"/>
        <v/>
      </c>
      <c r="AI64" s="111"/>
      <c r="AJ64" s="111" t="str">
        <f t="shared" si="25"/>
        <v/>
      </c>
      <c r="AK64" s="111" t="e">
        <f t="shared" si="26"/>
        <v>#N/A</v>
      </c>
      <c r="AL64" s="111" t="e">
        <f t="shared" si="27"/>
        <v>#N/A</v>
      </c>
      <c r="AM64" s="111" t="str">
        <f t="shared" si="28"/>
        <v/>
      </c>
      <c r="AN64" s="111" t="str">
        <f t="shared" si="29"/>
        <v/>
      </c>
      <c r="AO64" s="111" t="str">
        <f t="shared" si="30"/>
        <v xml:space="preserve"> </v>
      </c>
      <c r="AP64" s="287" t="str">
        <f t="shared" si="31"/>
        <v xml:space="preserve"> </v>
      </c>
      <c r="AQ64" s="224" t="str">
        <f t="shared" si="32"/>
        <v xml:space="preserve"> </v>
      </c>
      <c r="AR64" s="111" t="str">
        <f t="shared" si="33"/>
        <v/>
      </c>
      <c r="AS64" s="181" t="str">
        <f t="shared" si="34"/>
        <v/>
      </c>
      <c r="AT64" s="24" t="str">
        <f t="shared" si="35"/>
        <v/>
      </c>
      <c r="AU64" s="24" t="str">
        <f t="shared" si="41"/>
        <v/>
      </c>
      <c r="AV64" s="291" t="s">
        <v>192</v>
      </c>
      <c r="AW64" s="289">
        <v>101.39077810000001</v>
      </c>
      <c r="AX64" s="289">
        <v>185.4184443</v>
      </c>
      <c r="AY64" s="257">
        <f t="shared" si="42"/>
        <v>76.043083574999997</v>
      </c>
      <c r="AZ64" s="257">
        <f t="shared" si="43"/>
        <v>139.063833225</v>
      </c>
      <c r="BA64" s="54"/>
      <c r="BB64" s="58" t="s">
        <v>193</v>
      </c>
      <c r="BC64" s="293">
        <v>0</v>
      </c>
      <c r="BD64" s="293">
        <v>149.99</v>
      </c>
      <c r="BE64" s="24">
        <f t="shared" si="15"/>
        <v>0</v>
      </c>
      <c r="BF64" s="24">
        <f t="shared" si="16"/>
        <v>1979868.0000000005</v>
      </c>
      <c r="BT64" s="331" t="s">
        <v>148</v>
      </c>
    </row>
    <row r="65" spans="1:72" s="24" customFormat="1" ht="12.75" customHeight="1">
      <c r="A65" s="429"/>
      <c r="B65" s="431"/>
      <c r="C65" s="431"/>
      <c r="D65" s="431"/>
      <c r="E65" s="431"/>
      <c r="F65" s="432"/>
      <c r="G65" s="430"/>
      <c r="H65" s="430"/>
      <c r="I65" s="430"/>
      <c r="J65" s="430"/>
      <c r="K65" s="381"/>
      <c r="L65" s="381"/>
      <c r="M65" s="435"/>
      <c r="N65" s="435"/>
      <c r="O65" s="505"/>
      <c r="P65" s="506"/>
      <c r="Q65" s="423" t="str">
        <f t="shared" si="36"/>
        <v/>
      </c>
      <c r="R65" s="423"/>
      <c r="S65" s="419" t="str">
        <f t="shared" si="37"/>
        <v xml:space="preserve"> </v>
      </c>
      <c r="T65" s="419"/>
      <c r="U65" s="418"/>
      <c r="V65" s="418"/>
      <c r="W65" s="420"/>
      <c r="X65" s="420"/>
      <c r="Y65" s="417" t="str">
        <f t="shared" si="38"/>
        <v xml:space="preserve"> </v>
      </c>
      <c r="Z65" s="417"/>
      <c r="AA65" s="417"/>
      <c r="AB65" s="214" t="str">
        <f t="shared" si="39"/>
        <v/>
      </c>
      <c r="AC65" s="212" t="str">
        <f t="shared" si="19"/>
        <v/>
      </c>
      <c r="AD65" s="212" t="str">
        <f t="shared" si="40"/>
        <v/>
      </c>
      <c r="AE65" s="111" t="b">
        <f t="shared" si="21"/>
        <v>0</v>
      </c>
      <c r="AF65" s="111" t="b">
        <f t="shared" si="22"/>
        <v>0</v>
      </c>
      <c r="AG65" s="125" t="str">
        <f t="shared" si="23"/>
        <v xml:space="preserve"> </v>
      </c>
      <c r="AH65" s="111" t="str">
        <f t="shared" si="24"/>
        <v/>
      </c>
      <c r="AI65" s="111"/>
      <c r="AJ65" s="111" t="str">
        <f t="shared" si="25"/>
        <v/>
      </c>
      <c r="AK65" s="111" t="e">
        <f t="shared" si="26"/>
        <v>#N/A</v>
      </c>
      <c r="AL65" s="111" t="e">
        <f t="shared" si="27"/>
        <v>#N/A</v>
      </c>
      <c r="AM65" s="111" t="str">
        <f t="shared" si="28"/>
        <v/>
      </c>
      <c r="AN65" s="111" t="str">
        <f t="shared" si="29"/>
        <v/>
      </c>
      <c r="AO65" s="111" t="str">
        <f t="shared" si="30"/>
        <v xml:space="preserve"> </v>
      </c>
      <c r="AP65" s="287" t="str">
        <f t="shared" si="31"/>
        <v xml:space="preserve"> </v>
      </c>
      <c r="AQ65" s="224" t="str">
        <f t="shared" si="32"/>
        <v xml:space="preserve"> </v>
      </c>
      <c r="AR65" s="111" t="str">
        <f t="shared" si="33"/>
        <v/>
      </c>
      <c r="AS65" s="181" t="str">
        <f t="shared" si="34"/>
        <v/>
      </c>
      <c r="AT65" s="24" t="str">
        <f t="shared" si="35"/>
        <v/>
      </c>
      <c r="AU65" s="24" t="str">
        <f t="shared" si="41"/>
        <v/>
      </c>
      <c r="AV65" s="257" t="s">
        <v>194</v>
      </c>
      <c r="AW65" s="289">
        <v>90.059864640000001</v>
      </c>
      <c r="AX65" s="289">
        <v>153.58384770000001</v>
      </c>
      <c r="AY65" s="257">
        <f t="shared" si="42"/>
        <v>67.544898480000001</v>
      </c>
      <c r="AZ65" s="257">
        <f t="shared" si="43"/>
        <v>115.18788577500001</v>
      </c>
      <c r="BA65" s="54"/>
      <c r="BB65" s="61" t="s">
        <v>195</v>
      </c>
      <c r="BC65" s="294">
        <v>0.25</v>
      </c>
      <c r="BD65" s="294">
        <v>5.3998999999999997</v>
      </c>
      <c r="BE65" s="24">
        <f t="shared" si="15"/>
        <v>2700</v>
      </c>
      <c r="BF65" s="24">
        <f t="shared" si="16"/>
        <v>71278.680000000008</v>
      </c>
      <c r="BT65" s="331" t="s">
        <v>148</v>
      </c>
    </row>
    <row r="66" spans="1:72" s="24" customFormat="1" ht="12.75" customHeight="1">
      <c r="A66" s="429"/>
      <c r="B66" s="431"/>
      <c r="C66" s="431"/>
      <c r="D66" s="431"/>
      <c r="E66" s="431"/>
      <c r="F66" s="432"/>
      <c r="G66" s="430"/>
      <c r="H66" s="430"/>
      <c r="I66" s="430"/>
      <c r="J66" s="430"/>
      <c r="K66" s="381"/>
      <c r="L66" s="381"/>
      <c r="M66" s="435"/>
      <c r="N66" s="435"/>
      <c r="O66" s="505"/>
      <c r="P66" s="506"/>
      <c r="Q66" s="423" t="str">
        <f t="shared" si="36"/>
        <v/>
      </c>
      <c r="R66" s="423"/>
      <c r="S66" s="419" t="str">
        <f t="shared" si="37"/>
        <v xml:space="preserve"> </v>
      </c>
      <c r="T66" s="419"/>
      <c r="U66" s="418"/>
      <c r="V66" s="418"/>
      <c r="W66" s="420"/>
      <c r="X66" s="420"/>
      <c r="Y66" s="417" t="str">
        <f t="shared" si="38"/>
        <v xml:space="preserve"> </v>
      </c>
      <c r="Z66" s="417"/>
      <c r="AA66" s="417"/>
      <c r="AB66" s="214" t="str">
        <f t="shared" si="39"/>
        <v/>
      </c>
      <c r="AC66" s="212" t="str">
        <f t="shared" si="19"/>
        <v/>
      </c>
      <c r="AD66" s="212" t="str">
        <f t="shared" si="40"/>
        <v/>
      </c>
      <c r="AE66" s="111" t="b">
        <f t="shared" si="21"/>
        <v>0</v>
      </c>
      <c r="AF66" s="111" t="b">
        <f t="shared" si="22"/>
        <v>0</v>
      </c>
      <c r="AG66" s="125" t="str">
        <f t="shared" si="23"/>
        <v xml:space="preserve"> </v>
      </c>
      <c r="AH66" s="111" t="str">
        <f t="shared" si="24"/>
        <v/>
      </c>
      <c r="AI66" s="111"/>
      <c r="AJ66" s="111" t="str">
        <f t="shared" si="25"/>
        <v/>
      </c>
      <c r="AK66" s="111" t="e">
        <f t="shared" si="26"/>
        <v>#N/A</v>
      </c>
      <c r="AL66" s="111" t="e">
        <f t="shared" si="27"/>
        <v>#N/A</v>
      </c>
      <c r="AM66" s="111" t="str">
        <f t="shared" si="28"/>
        <v/>
      </c>
      <c r="AN66" s="111" t="str">
        <f t="shared" si="29"/>
        <v/>
      </c>
      <c r="AO66" s="111" t="str">
        <f t="shared" si="30"/>
        <v xml:space="preserve"> </v>
      </c>
      <c r="AP66" s="287" t="str">
        <f t="shared" si="31"/>
        <v xml:space="preserve"> </v>
      </c>
      <c r="AQ66" s="224" t="str">
        <f t="shared" si="32"/>
        <v xml:space="preserve"> </v>
      </c>
      <c r="AR66" s="111" t="str">
        <f t="shared" si="33"/>
        <v/>
      </c>
      <c r="AS66" s="181" t="str">
        <f t="shared" si="34"/>
        <v/>
      </c>
      <c r="AT66" s="24" t="str">
        <f t="shared" si="35"/>
        <v/>
      </c>
      <c r="AU66" s="24" t="str">
        <f t="shared" si="41"/>
        <v/>
      </c>
      <c r="AV66" s="257" t="s">
        <v>196</v>
      </c>
      <c r="AW66" s="289">
        <v>77.441518490000007</v>
      </c>
      <c r="AX66" s="289">
        <v>129.7217972</v>
      </c>
      <c r="AY66" s="257">
        <f t="shared" si="42"/>
        <v>58.081138867500002</v>
      </c>
      <c r="AZ66" s="257">
        <f t="shared" si="43"/>
        <v>97.291347900000005</v>
      </c>
      <c r="BA66" s="54"/>
      <c r="BB66" s="61" t="s">
        <v>197</v>
      </c>
      <c r="BC66" s="294">
        <v>0.25</v>
      </c>
      <c r="BD66" s="294">
        <v>5.99</v>
      </c>
      <c r="BE66" s="24">
        <f t="shared" si="15"/>
        <v>2700</v>
      </c>
      <c r="BF66" s="24">
        <f t="shared" si="16"/>
        <v>79068</v>
      </c>
      <c r="BT66" s="331" t="s">
        <v>148</v>
      </c>
    </row>
    <row r="67" spans="1:72" s="24" customFormat="1" ht="12.75" customHeight="1">
      <c r="A67" s="429"/>
      <c r="B67" s="431"/>
      <c r="C67" s="431"/>
      <c r="D67" s="431"/>
      <c r="E67" s="431"/>
      <c r="F67" s="432"/>
      <c r="G67" s="430"/>
      <c r="H67" s="430"/>
      <c r="I67" s="430"/>
      <c r="J67" s="430"/>
      <c r="K67" s="381"/>
      <c r="L67" s="381"/>
      <c r="M67" s="435"/>
      <c r="N67" s="435"/>
      <c r="O67" s="505"/>
      <c r="P67" s="506"/>
      <c r="Q67" s="423" t="str">
        <f t="shared" si="36"/>
        <v/>
      </c>
      <c r="R67" s="423"/>
      <c r="S67" s="419" t="str">
        <f t="shared" si="37"/>
        <v xml:space="preserve"> </v>
      </c>
      <c r="T67" s="419"/>
      <c r="U67" s="418"/>
      <c r="V67" s="418"/>
      <c r="W67" s="420"/>
      <c r="X67" s="420"/>
      <c r="Y67" s="417" t="str">
        <f t="shared" si="38"/>
        <v xml:space="preserve"> </v>
      </c>
      <c r="Z67" s="417"/>
      <c r="AA67" s="417"/>
      <c r="AB67" s="214" t="str">
        <f t="shared" si="39"/>
        <v/>
      </c>
      <c r="AC67" s="212" t="str">
        <f t="shared" si="19"/>
        <v/>
      </c>
      <c r="AD67" s="212" t="str">
        <f t="shared" si="40"/>
        <v/>
      </c>
      <c r="AE67" s="111" t="b">
        <f t="shared" si="21"/>
        <v>0</v>
      </c>
      <c r="AF67" s="111" t="b">
        <f t="shared" si="22"/>
        <v>0</v>
      </c>
      <c r="AG67" s="125" t="str">
        <f t="shared" si="23"/>
        <v xml:space="preserve"> </v>
      </c>
      <c r="AH67" s="111" t="str">
        <f t="shared" si="24"/>
        <v/>
      </c>
      <c r="AI67" s="111"/>
      <c r="AJ67" s="111" t="str">
        <f t="shared" si="25"/>
        <v/>
      </c>
      <c r="AK67" s="111" t="e">
        <f t="shared" si="26"/>
        <v>#N/A</v>
      </c>
      <c r="AL67" s="111" t="e">
        <f t="shared" si="27"/>
        <v>#N/A</v>
      </c>
      <c r="AM67" s="111" t="str">
        <f t="shared" si="28"/>
        <v/>
      </c>
      <c r="AN67" s="111" t="str">
        <f t="shared" si="29"/>
        <v/>
      </c>
      <c r="AO67" s="111" t="str">
        <f t="shared" si="30"/>
        <v xml:space="preserve"> </v>
      </c>
      <c r="AP67" s="287" t="str">
        <f t="shared" si="31"/>
        <v xml:space="preserve"> </v>
      </c>
      <c r="AQ67" s="224" t="str">
        <f t="shared" si="32"/>
        <v xml:space="preserve"> </v>
      </c>
      <c r="AR67" s="111" t="str">
        <f t="shared" si="33"/>
        <v/>
      </c>
      <c r="AS67" s="181" t="str">
        <f t="shared" si="34"/>
        <v/>
      </c>
      <c r="AT67" s="24" t="str">
        <f t="shared" si="35"/>
        <v/>
      </c>
      <c r="AU67" s="24" t="str">
        <f t="shared" si="41"/>
        <v/>
      </c>
      <c r="AV67" s="257" t="s">
        <v>198</v>
      </c>
      <c r="AW67" s="289">
        <v>63.535739640000003</v>
      </c>
      <c r="AX67" s="289">
        <v>113.8322929</v>
      </c>
      <c r="AY67" s="257">
        <f t="shared" si="42"/>
        <v>47.651804730000002</v>
      </c>
      <c r="AZ67" s="257">
        <f t="shared" si="43"/>
        <v>85.374219675000006</v>
      </c>
      <c r="BA67" s="54"/>
      <c r="BB67" s="58" t="s">
        <v>199</v>
      </c>
      <c r="BC67" s="293">
        <v>0</v>
      </c>
      <c r="BD67" s="293">
        <v>150</v>
      </c>
      <c r="BE67" s="24">
        <f t="shared" si="15"/>
        <v>0</v>
      </c>
      <c r="BF67" s="24">
        <f t="shared" si="16"/>
        <v>1980000</v>
      </c>
      <c r="BT67" s="331" t="s">
        <v>148</v>
      </c>
    </row>
    <row r="68" spans="1:72" s="24" customFormat="1" ht="12.75" customHeight="1">
      <c r="A68" s="429"/>
      <c r="B68" s="431"/>
      <c r="C68" s="431"/>
      <c r="D68" s="431"/>
      <c r="E68" s="431"/>
      <c r="F68" s="432"/>
      <c r="G68" s="430"/>
      <c r="H68" s="430"/>
      <c r="I68" s="430"/>
      <c r="J68" s="430"/>
      <c r="K68" s="381"/>
      <c r="L68" s="381"/>
      <c r="M68" s="435"/>
      <c r="N68" s="435"/>
      <c r="O68" s="505"/>
      <c r="P68" s="506"/>
      <c r="Q68" s="423" t="str">
        <f t="shared" si="36"/>
        <v/>
      </c>
      <c r="R68" s="423"/>
      <c r="S68" s="419" t="str">
        <f t="shared" si="37"/>
        <v xml:space="preserve"> </v>
      </c>
      <c r="T68" s="419"/>
      <c r="U68" s="418"/>
      <c r="V68" s="418"/>
      <c r="W68" s="420"/>
      <c r="X68" s="420"/>
      <c r="Y68" s="417" t="str">
        <f t="shared" si="38"/>
        <v xml:space="preserve"> </v>
      </c>
      <c r="Z68" s="417"/>
      <c r="AA68" s="417"/>
      <c r="AB68" s="214" t="str">
        <f t="shared" si="39"/>
        <v/>
      </c>
      <c r="AC68" s="212" t="str">
        <f t="shared" si="19"/>
        <v/>
      </c>
      <c r="AD68" s="212" t="str">
        <f t="shared" si="40"/>
        <v/>
      </c>
      <c r="AE68" s="111" t="b">
        <f t="shared" si="21"/>
        <v>0</v>
      </c>
      <c r="AF68" s="111" t="b">
        <f t="shared" si="22"/>
        <v>0</v>
      </c>
      <c r="AG68" s="125" t="str">
        <f t="shared" si="23"/>
        <v xml:space="preserve"> </v>
      </c>
      <c r="AH68" s="111" t="str">
        <f t="shared" si="24"/>
        <v/>
      </c>
      <c r="AI68" s="111"/>
      <c r="AJ68" s="111" t="str">
        <f t="shared" si="25"/>
        <v/>
      </c>
      <c r="AK68" s="111" t="e">
        <f t="shared" si="26"/>
        <v>#N/A</v>
      </c>
      <c r="AL68" s="111" t="e">
        <f t="shared" si="27"/>
        <v>#N/A</v>
      </c>
      <c r="AM68" s="111" t="str">
        <f t="shared" si="28"/>
        <v/>
      </c>
      <c r="AN68" s="111" t="str">
        <f t="shared" si="29"/>
        <v/>
      </c>
      <c r="AO68" s="111" t="str">
        <f t="shared" si="30"/>
        <v xml:space="preserve"> </v>
      </c>
      <c r="AP68" s="287" t="str">
        <f t="shared" si="31"/>
        <v xml:space="preserve"> </v>
      </c>
      <c r="AQ68" s="224" t="str">
        <f t="shared" si="32"/>
        <v xml:space="preserve"> </v>
      </c>
      <c r="AR68" s="111" t="str">
        <f t="shared" si="33"/>
        <v/>
      </c>
      <c r="AS68" s="181" t="str">
        <f t="shared" si="34"/>
        <v/>
      </c>
      <c r="AT68" s="24" t="str">
        <f t="shared" si="35"/>
        <v/>
      </c>
      <c r="AU68" s="24" t="str">
        <f t="shared" si="41"/>
        <v/>
      </c>
      <c r="AV68" s="257" t="s">
        <v>200</v>
      </c>
      <c r="AW68" s="289">
        <v>48.342528110000003</v>
      </c>
      <c r="AX68" s="289">
        <v>105.9153347</v>
      </c>
      <c r="AY68" s="257">
        <f t="shared" si="42"/>
        <v>36.256896082500006</v>
      </c>
      <c r="AZ68" s="257">
        <f t="shared" si="43"/>
        <v>79.436501024999998</v>
      </c>
      <c r="BA68" s="54"/>
      <c r="BB68" s="58" t="s">
        <v>201</v>
      </c>
      <c r="BC68" s="293">
        <v>11.25</v>
      </c>
      <c r="BD68" s="293">
        <v>19.989999999999998</v>
      </c>
      <c r="BE68" s="24">
        <f t="shared" si="15"/>
        <v>121500</v>
      </c>
      <c r="BF68" s="24">
        <f t="shared" si="16"/>
        <v>263868</v>
      </c>
    </row>
    <row r="69" spans="1:72" s="24" customFormat="1" ht="12.75" customHeight="1" thickBot="1">
      <c r="A69" s="29"/>
      <c r="B69" s="29"/>
      <c r="C69" s="29"/>
      <c r="D69" s="29"/>
      <c r="E69" s="29"/>
      <c r="F69" s="29"/>
      <c r="G69" s="30"/>
      <c r="H69" s="30"/>
      <c r="I69" s="30"/>
      <c r="J69" s="30"/>
      <c r="K69" s="30"/>
      <c r="L69" s="31"/>
      <c r="M69" s="31"/>
      <c r="N69" s="31"/>
      <c r="O69" s="31"/>
      <c r="P69" s="30"/>
      <c r="Q69" s="30"/>
      <c r="R69" s="32"/>
      <c r="S69" s="32"/>
      <c r="T69" s="14"/>
      <c r="U69" s="14"/>
      <c r="V69" s="30"/>
      <c r="W69" s="30"/>
      <c r="X69" s="33"/>
      <c r="Y69" s="33"/>
      <c r="Z69" s="33"/>
      <c r="AA69" s="38" t="s">
        <v>202</v>
      </c>
      <c r="AB69" s="215"/>
      <c r="AC69" s="216"/>
      <c r="AD69" s="216"/>
      <c r="AE69" s="217"/>
      <c r="AV69" s="257" t="s">
        <v>203</v>
      </c>
      <c r="AW69" s="257">
        <v>113.35826208981743</v>
      </c>
      <c r="AX69" s="257">
        <v>204.58124999999998</v>
      </c>
      <c r="AY69" s="257">
        <f t="shared" si="42"/>
        <v>85.018696567363065</v>
      </c>
      <c r="AZ69" s="257">
        <f t="shared" si="43"/>
        <v>153.43593749999999</v>
      </c>
      <c r="BA69" s="54"/>
      <c r="BB69" s="58" t="s">
        <v>204</v>
      </c>
      <c r="BC69" s="293">
        <v>150</v>
      </c>
      <c r="BD69" s="293">
        <v>10000</v>
      </c>
      <c r="BE69" s="24">
        <f t="shared" si="15"/>
        <v>1620000</v>
      </c>
      <c r="BF69" s="24">
        <f t="shared" si="16"/>
        <v>132000000</v>
      </c>
    </row>
    <row r="70" spans="1:72" customFormat="1" ht="28.5" customHeight="1" thickBot="1">
      <c r="A70" s="475" t="s">
        <v>205</v>
      </c>
      <c r="B70" s="475"/>
      <c r="C70" s="475"/>
      <c r="D70" s="475"/>
      <c r="E70" s="475"/>
      <c r="F70" s="475"/>
      <c r="G70" s="507" t="s">
        <v>206</v>
      </c>
      <c r="H70" s="507"/>
      <c r="I70" s="507"/>
      <c r="J70" s="507"/>
      <c r="K70" s="507"/>
      <c r="L70" s="507"/>
      <c r="M70" s="507"/>
      <c r="N70" s="507"/>
      <c r="O70" s="507"/>
      <c r="P70" s="507"/>
      <c r="Q70" s="507"/>
      <c r="R70" s="507"/>
      <c r="S70" s="507"/>
      <c r="T70" s="507"/>
      <c r="U70" s="454"/>
      <c r="V70" s="454"/>
      <c r="W70" s="454"/>
      <c r="X70" s="454"/>
      <c r="Y70" s="454"/>
      <c r="Z70" s="454"/>
      <c r="AA70" s="454"/>
      <c r="AC70" s="216"/>
      <c r="AH70" s="200"/>
      <c r="AI70" s="200"/>
      <c r="AJ70" s="200"/>
      <c r="AK70" s="218"/>
      <c r="AL70" s="292"/>
      <c r="AM70" s="51"/>
      <c r="AN70" s="51"/>
      <c r="AO70" s="51"/>
      <c r="AP70" s="59"/>
      <c r="AQ70" s="59"/>
      <c r="AR70" s="59"/>
      <c r="AS70" s="59"/>
      <c r="AT70" s="59"/>
      <c r="AU70" s="50"/>
      <c r="AV70" s="257" t="s">
        <v>207</v>
      </c>
      <c r="AW70" s="257">
        <v>87.352590561725279</v>
      </c>
      <c r="AX70" s="257">
        <v>118.61368760966984</v>
      </c>
      <c r="AY70" s="257">
        <f t="shared" si="42"/>
        <v>65.514442921293963</v>
      </c>
      <c r="AZ70" s="257">
        <f t="shared" si="43"/>
        <v>88.960265707252375</v>
      </c>
      <c r="BA70" s="54"/>
      <c r="BB70" s="58" t="s">
        <v>208</v>
      </c>
      <c r="BC70" s="293">
        <v>20</v>
      </c>
      <c r="BD70" s="293">
        <v>10000</v>
      </c>
      <c r="BE70" s="24">
        <f t="shared" si="15"/>
        <v>216000</v>
      </c>
      <c r="BF70" s="24">
        <f t="shared" si="16"/>
        <v>132000000</v>
      </c>
      <c r="BG70" s="28"/>
      <c r="BH70" s="28"/>
    </row>
    <row r="71" spans="1:72" s="24" customFormat="1" ht="26.25" customHeight="1" thickBot="1">
      <c r="A71" s="455" t="s">
        <v>209</v>
      </c>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O71" s="61"/>
      <c r="AP71" s="61"/>
      <c r="AT71" s="54"/>
      <c r="AU71" s="54"/>
      <c r="AV71" s="57"/>
      <c r="AW71" s="57"/>
      <c r="AX71" s="57"/>
      <c r="AY71" s="57"/>
      <c r="AZ71" s="57"/>
      <c r="BA71" s="57"/>
      <c r="BB71" s="58" t="s">
        <v>210</v>
      </c>
      <c r="BC71" s="293">
        <v>20</v>
      </c>
      <c r="BD71" s="293">
        <v>10000</v>
      </c>
      <c r="BE71" s="24">
        <f t="shared" si="15"/>
        <v>216000</v>
      </c>
      <c r="BF71" s="24">
        <f t="shared" si="16"/>
        <v>132000000</v>
      </c>
    </row>
    <row r="72" spans="1:72" s="24" customFormat="1" ht="39" customHeight="1">
      <c r="A72" s="482" t="s">
        <v>19</v>
      </c>
      <c r="B72" s="482"/>
      <c r="C72" s="482"/>
      <c r="D72" s="482"/>
      <c r="E72" s="482"/>
      <c r="F72" s="482"/>
      <c r="G72" s="508" t="s">
        <v>211</v>
      </c>
      <c r="H72" s="508"/>
      <c r="I72" s="482" t="s">
        <v>212</v>
      </c>
      <c r="J72" s="482"/>
      <c r="K72" s="482"/>
      <c r="L72" s="463" t="s">
        <v>213</v>
      </c>
      <c r="M72" s="463"/>
      <c r="N72" s="463"/>
      <c r="O72" s="463" t="s">
        <v>214</v>
      </c>
      <c r="P72" s="463"/>
      <c r="Q72" s="463" t="s">
        <v>215</v>
      </c>
      <c r="R72" s="463"/>
      <c r="S72" s="463" t="s">
        <v>216</v>
      </c>
      <c r="T72" s="463"/>
      <c r="U72" s="463"/>
      <c r="V72" s="463"/>
      <c r="W72" s="463" t="s">
        <v>122</v>
      </c>
      <c r="X72" s="463"/>
      <c r="Y72" s="463"/>
      <c r="Z72" s="463"/>
      <c r="AA72" s="463"/>
      <c r="AB72" s="219" t="s">
        <v>217</v>
      </c>
      <c r="AC72" s="220" t="s">
        <v>218</v>
      </c>
      <c r="AD72" s="221" t="s">
        <v>125</v>
      </c>
      <c r="AE72" s="222" t="s">
        <v>219</v>
      </c>
      <c r="AO72" s="61"/>
      <c r="AP72" s="61"/>
      <c r="AT72" s="54"/>
      <c r="AU72" s="54"/>
      <c r="AV72" s="57"/>
      <c r="AW72" s="57"/>
      <c r="AX72" s="57"/>
      <c r="AY72" s="57"/>
      <c r="AZ72" s="57"/>
      <c r="BA72" s="57"/>
      <c r="BB72" s="58" t="s">
        <v>220</v>
      </c>
      <c r="BC72" s="293">
        <v>600</v>
      </c>
      <c r="BD72" s="293">
        <v>10000</v>
      </c>
      <c r="BE72" s="24">
        <f t="shared" si="15"/>
        <v>6480000</v>
      </c>
      <c r="BF72" s="24">
        <f t="shared" si="16"/>
        <v>132000000</v>
      </c>
    </row>
    <row r="73" spans="1:72" s="24" customFormat="1" ht="13">
      <c r="A73" s="459"/>
      <c r="B73" s="459"/>
      <c r="C73" s="459"/>
      <c r="D73" s="459"/>
      <c r="E73" s="459"/>
      <c r="F73" s="459"/>
      <c r="G73" s="476"/>
      <c r="H73" s="476"/>
      <c r="I73" s="477"/>
      <c r="J73" s="477"/>
      <c r="K73" s="477"/>
      <c r="L73" s="478"/>
      <c r="M73" s="478"/>
      <c r="N73" s="478"/>
      <c r="O73" s="483" t="str">
        <f t="shared" ref="O73:O80" si="44">IF(A73="","",VLOOKUP(A73,$AE$247:$AJ$247,6,FALSE))</f>
        <v/>
      </c>
      <c r="P73" s="483"/>
      <c r="Q73" s="456"/>
      <c r="R73" s="456"/>
      <c r="S73" s="484"/>
      <c r="T73" s="484"/>
      <c r="U73" s="484"/>
      <c r="V73" s="484"/>
      <c r="W73" s="462" t="str" cm="1">
        <f t="array" aca="1" ref="W73" ca="1">IF(AC73,"Check Shading Coefficient",IF(AE73,"Check Category",IF(AB73="Incomplete","Incomplete",IF(A73="","",_xlfn.XLOOKUP(A73,$AE$247:$AE$247,$AG$247:$AG$247,FALSE)*S73))))</f>
        <v/>
      </c>
      <c r="X73" s="462"/>
      <c r="Y73" s="462"/>
      <c r="Z73" s="462"/>
      <c r="AA73" s="462"/>
      <c r="AB73" s="219" t="str">
        <f>IF(A73="","",IF(OR(G73="",I73="",L73="",Q73="",S73=""),"Incomplete",""))</f>
        <v/>
      </c>
      <c r="AC73" s="221" t="b">
        <f t="shared" ref="AC73:AC80" si="45">Q73&gt;O73</f>
        <v>0</v>
      </c>
      <c r="AD73" s="212" t="str">
        <f t="shared" ref="AD73:AD80" ca="1" si="46">IF(ISBLANK(W73),"",IF(OR(AE73,AC73,W73="Incomplete"),1,""))</f>
        <v/>
      </c>
      <c r="AE73" s="111" t="b">
        <f t="shared" ref="AE73:AE80" ca="1" si="47">ISNA(VLOOKUP(I73,INDIRECT(A73),1,FALSE))</f>
        <v>0</v>
      </c>
      <c r="AO73" s="61"/>
      <c r="AP73" s="61"/>
      <c r="AT73" s="54"/>
      <c r="AU73" s="54"/>
      <c r="AV73" s="57"/>
      <c r="AW73" s="57"/>
      <c r="AX73" s="57"/>
      <c r="AY73" s="57"/>
      <c r="AZ73" s="57"/>
      <c r="BA73" s="57"/>
      <c r="BB73" s="58" t="s">
        <v>221</v>
      </c>
      <c r="BC73" s="293">
        <v>5.4</v>
      </c>
      <c r="BD73" s="293">
        <v>11.2499</v>
      </c>
      <c r="BE73" s="24">
        <f t="shared" si="15"/>
        <v>58320.000000000007</v>
      </c>
      <c r="BF73" s="24">
        <f t="shared" si="16"/>
        <v>148498.68</v>
      </c>
      <c r="BT73" s="331" t="s">
        <v>148</v>
      </c>
    </row>
    <row r="74" spans="1:72" s="24" customFormat="1" ht="13">
      <c r="A74" s="459"/>
      <c r="B74" s="459"/>
      <c r="C74" s="459"/>
      <c r="D74" s="459"/>
      <c r="E74" s="459"/>
      <c r="F74" s="459"/>
      <c r="G74" s="476"/>
      <c r="H74" s="476"/>
      <c r="I74" s="477"/>
      <c r="J74" s="477"/>
      <c r="K74" s="477"/>
      <c r="L74" s="478"/>
      <c r="M74" s="478"/>
      <c r="N74" s="478"/>
      <c r="O74" s="465" t="str">
        <f t="shared" si="44"/>
        <v/>
      </c>
      <c r="P74" s="465"/>
      <c r="Q74" s="456"/>
      <c r="R74" s="456"/>
      <c r="S74" s="484"/>
      <c r="T74" s="484"/>
      <c r="U74" s="484"/>
      <c r="V74" s="484"/>
      <c r="W74" s="462" t="str" cm="1">
        <f t="array" aca="1" ref="W74" ca="1">IF(AC74,"Check Shading Coefficient",IF(AE74,"Check Category",IF(AB74="Incomplete","Incomplete",IF(A74="","",_xlfn.XLOOKUP(A74,$AE$247:$AE$247,$AG$247:$AG$247,FALSE)*S74))))</f>
        <v/>
      </c>
      <c r="X74" s="462"/>
      <c r="Y74" s="462"/>
      <c r="Z74" s="462"/>
      <c r="AA74" s="462"/>
      <c r="AB74" s="219" t="str">
        <f t="shared" ref="AB74:AB80" si="48">IF(A74="","",IF(OR(G74="",L74="",Q74="",S74=""),"Incomplete",""))</f>
        <v/>
      </c>
      <c r="AC74" s="221" t="b">
        <f t="shared" si="45"/>
        <v>0</v>
      </c>
      <c r="AD74" s="212" t="str">
        <f t="shared" ca="1" si="46"/>
        <v/>
      </c>
      <c r="AE74" s="111" t="b">
        <f t="shared" ca="1" si="47"/>
        <v>0</v>
      </c>
      <c r="AL74" s="61"/>
      <c r="AM74" s="61"/>
      <c r="AN74" s="61"/>
      <c r="AO74" s="61"/>
      <c r="AP74" s="61"/>
      <c r="AT74" s="54"/>
      <c r="AU74" s="54"/>
      <c r="AV74" s="57"/>
      <c r="AW74" s="57"/>
      <c r="AX74" s="57"/>
      <c r="AY74" s="57"/>
      <c r="AZ74" s="57"/>
      <c r="BA74" s="57"/>
      <c r="BB74" s="58" t="s">
        <v>222</v>
      </c>
      <c r="BC74" s="293">
        <v>63.3</v>
      </c>
      <c r="BD74" s="293">
        <v>10000</v>
      </c>
      <c r="BE74" s="24">
        <f t="shared" si="15"/>
        <v>683640</v>
      </c>
      <c r="BF74" s="24">
        <f t="shared" si="16"/>
        <v>132000000</v>
      </c>
    </row>
    <row r="75" spans="1:72" s="24" customFormat="1" ht="13">
      <c r="A75" s="459"/>
      <c r="B75" s="459"/>
      <c r="C75" s="459"/>
      <c r="D75" s="459"/>
      <c r="E75" s="459"/>
      <c r="F75" s="459"/>
      <c r="G75" s="476"/>
      <c r="H75" s="476"/>
      <c r="I75" s="477"/>
      <c r="J75" s="477"/>
      <c r="K75" s="477"/>
      <c r="L75" s="478"/>
      <c r="M75" s="478"/>
      <c r="N75" s="478"/>
      <c r="O75" s="465" t="str">
        <f t="shared" si="44"/>
        <v/>
      </c>
      <c r="P75" s="465"/>
      <c r="Q75" s="456"/>
      <c r="R75" s="456"/>
      <c r="S75" s="484"/>
      <c r="T75" s="484"/>
      <c r="U75" s="484"/>
      <c r="V75" s="484"/>
      <c r="W75" s="462" t="str" cm="1">
        <f t="array" aca="1" ref="W75" ca="1">IF(AC75,"Check Shading Coefficient",IF(AE75,"Check Category",IF(AB75="Incomplete","Incomplete",IF(A75="","",_xlfn.XLOOKUP(A75,$AE$247:$AE$247,$AG$247:$AG$247,FALSE)*S75))))</f>
        <v/>
      </c>
      <c r="X75" s="462"/>
      <c r="Y75" s="462"/>
      <c r="Z75" s="462"/>
      <c r="AA75" s="462"/>
      <c r="AB75" s="219" t="str">
        <f t="shared" si="48"/>
        <v/>
      </c>
      <c r="AC75" s="221" t="b">
        <f t="shared" si="45"/>
        <v>0</v>
      </c>
      <c r="AD75" s="212" t="str">
        <f t="shared" ca="1" si="46"/>
        <v/>
      </c>
      <c r="AE75" s="111" t="b">
        <f t="shared" ca="1" si="47"/>
        <v>0</v>
      </c>
      <c r="AL75" s="61"/>
      <c r="AM75" s="61"/>
      <c r="AN75" s="61"/>
      <c r="AO75" s="61"/>
      <c r="AP75" s="61"/>
      <c r="AT75" s="54"/>
      <c r="AU75" s="54"/>
      <c r="AV75" s="57"/>
      <c r="AW75" s="57"/>
      <c r="AX75" s="57"/>
      <c r="AY75" s="57"/>
      <c r="AZ75" s="57"/>
      <c r="BA75" s="57"/>
      <c r="BB75" s="58" t="s">
        <v>223</v>
      </c>
      <c r="BC75" s="293">
        <v>11</v>
      </c>
      <c r="BD75" s="293">
        <v>19.989999999999998</v>
      </c>
      <c r="BE75" s="24">
        <f t="shared" si="15"/>
        <v>118800</v>
      </c>
      <c r="BF75" s="24">
        <f t="shared" si="16"/>
        <v>263868</v>
      </c>
    </row>
    <row r="76" spans="1:72" s="24" customFormat="1" ht="13">
      <c r="A76" s="459"/>
      <c r="B76" s="459"/>
      <c r="C76" s="459"/>
      <c r="D76" s="459"/>
      <c r="E76" s="459"/>
      <c r="F76" s="459"/>
      <c r="G76" s="476"/>
      <c r="H76" s="476"/>
      <c r="I76" s="477"/>
      <c r="J76" s="477"/>
      <c r="K76" s="477"/>
      <c r="L76" s="478"/>
      <c r="M76" s="478"/>
      <c r="N76" s="478"/>
      <c r="O76" s="465" t="str">
        <f t="shared" si="44"/>
        <v/>
      </c>
      <c r="P76" s="465"/>
      <c r="Q76" s="456"/>
      <c r="R76" s="456"/>
      <c r="S76" s="484"/>
      <c r="T76" s="484"/>
      <c r="U76" s="484"/>
      <c r="V76" s="484"/>
      <c r="W76" s="462" t="str" cm="1">
        <f t="array" aca="1" ref="W76" ca="1">IF(AC76,"Check Shading Coefficient",IF(AE76,"Check Category",IF(AB76="Incomplete","Incomplete",IF(A76="","",_xlfn.XLOOKUP(A76,$AE$247:$AE$247,$AG$247:$AG$247,FALSE)*S76))))</f>
        <v/>
      </c>
      <c r="X76" s="462"/>
      <c r="Y76" s="462"/>
      <c r="Z76" s="462"/>
      <c r="AA76" s="462"/>
      <c r="AB76" s="219" t="str">
        <f t="shared" si="48"/>
        <v/>
      </c>
      <c r="AC76" s="221" t="b">
        <f t="shared" si="45"/>
        <v>0</v>
      </c>
      <c r="AD76" s="212" t="str">
        <f t="shared" ca="1" si="46"/>
        <v/>
      </c>
      <c r="AE76" s="111" t="b">
        <f t="shared" ca="1" si="47"/>
        <v>0</v>
      </c>
      <c r="AL76" s="61"/>
      <c r="AM76" s="61"/>
      <c r="AN76" s="61"/>
      <c r="AO76" s="61"/>
      <c r="AP76" s="61"/>
      <c r="AT76" s="54"/>
      <c r="AU76" s="54"/>
      <c r="AV76" s="57"/>
      <c r="AW76" s="57"/>
      <c r="AX76" s="57"/>
      <c r="AY76" s="57"/>
      <c r="AZ76" s="57"/>
      <c r="BA76" s="57"/>
      <c r="BB76" s="58" t="s">
        <v>224</v>
      </c>
      <c r="BC76" s="293">
        <v>11.25</v>
      </c>
      <c r="BD76" s="293">
        <v>19.989999999999998</v>
      </c>
      <c r="BE76" s="24">
        <f t="shared" si="15"/>
        <v>121500</v>
      </c>
      <c r="BF76" s="24">
        <f t="shared" si="16"/>
        <v>263868</v>
      </c>
    </row>
    <row r="77" spans="1:72" s="24" customFormat="1" ht="13">
      <c r="A77" s="459"/>
      <c r="B77" s="459"/>
      <c r="C77" s="459"/>
      <c r="D77" s="459"/>
      <c r="E77" s="459"/>
      <c r="F77" s="459"/>
      <c r="G77" s="476"/>
      <c r="H77" s="476"/>
      <c r="I77" s="477"/>
      <c r="J77" s="477"/>
      <c r="K77" s="477"/>
      <c r="L77" s="478"/>
      <c r="M77" s="478"/>
      <c r="N77" s="478"/>
      <c r="O77" s="465" t="str">
        <f t="shared" si="44"/>
        <v/>
      </c>
      <c r="P77" s="465"/>
      <c r="Q77" s="456"/>
      <c r="R77" s="456"/>
      <c r="S77" s="484"/>
      <c r="T77" s="484"/>
      <c r="U77" s="484"/>
      <c r="V77" s="484"/>
      <c r="W77" s="462" t="str" cm="1">
        <f t="array" aca="1" ref="W77" ca="1">IF(AC77,"Check Shading Coefficient",IF(AE77,"Check Category",IF(AB77="Incomplete","Incomplete",IF(A77="","",_xlfn.XLOOKUP(A77,$AE$247:$AE$247,$AG$247:$AG$247,FALSE)*S77))))</f>
        <v/>
      </c>
      <c r="X77" s="462"/>
      <c r="Y77" s="462"/>
      <c r="Z77" s="462"/>
      <c r="AA77" s="462"/>
      <c r="AB77" s="219" t="str">
        <f t="shared" si="48"/>
        <v/>
      </c>
      <c r="AC77" s="221" t="b">
        <f t="shared" si="45"/>
        <v>0</v>
      </c>
      <c r="AD77" s="212" t="str">
        <f t="shared" ca="1" si="46"/>
        <v/>
      </c>
      <c r="AE77" s="111" t="b">
        <f t="shared" ca="1" si="47"/>
        <v>0</v>
      </c>
      <c r="AL77" s="61"/>
      <c r="AM77" s="61"/>
      <c r="AN77" s="61"/>
      <c r="AO77" s="61"/>
      <c r="AP77" s="61"/>
      <c r="AQ77" s="61"/>
      <c r="AR77" s="61"/>
      <c r="AS77" s="54"/>
      <c r="AT77" s="54"/>
      <c r="AU77" s="54"/>
      <c r="AV77" s="57"/>
      <c r="AW77" s="57"/>
      <c r="AX77" s="57"/>
      <c r="AY77" s="57"/>
      <c r="AZ77" s="57"/>
      <c r="BA77" s="57"/>
      <c r="BB77" s="58" t="s">
        <v>28</v>
      </c>
      <c r="BC77" s="293">
        <v>150</v>
      </c>
      <c r="BD77" s="293">
        <v>299.99900000000002</v>
      </c>
      <c r="BE77" s="24">
        <f t="shared" si="15"/>
        <v>1620000</v>
      </c>
      <c r="BF77" s="24">
        <f t="shared" si="16"/>
        <v>3959986.8000000007</v>
      </c>
    </row>
    <row r="78" spans="1:72" s="24" customFormat="1" ht="13">
      <c r="A78" s="459"/>
      <c r="B78" s="459"/>
      <c r="C78" s="459"/>
      <c r="D78" s="459"/>
      <c r="E78" s="459"/>
      <c r="F78" s="459"/>
      <c r="G78" s="476"/>
      <c r="H78" s="476"/>
      <c r="I78" s="477"/>
      <c r="J78" s="477"/>
      <c r="K78" s="477"/>
      <c r="L78" s="478"/>
      <c r="M78" s="478"/>
      <c r="N78" s="478"/>
      <c r="O78" s="465" t="str">
        <f t="shared" si="44"/>
        <v/>
      </c>
      <c r="P78" s="465"/>
      <c r="Q78" s="456"/>
      <c r="R78" s="456"/>
      <c r="S78" s="484"/>
      <c r="T78" s="484"/>
      <c r="U78" s="484"/>
      <c r="V78" s="484"/>
      <c r="W78" s="462" t="str" cm="1">
        <f t="array" aca="1" ref="W78" ca="1">IF(AC78,"Check Shading Coefficient",IF(AE78,"Check Category",IF(AB78="Incomplete","Incomplete",IF(A78="","",_xlfn.XLOOKUP(A78,$AE$247:$AE$247,$AG$247:$AG$247,FALSE)*S78))))</f>
        <v/>
      </c>
      <c r="X78" s="462"/>
      <c r="Y78" s="462"/>
      <c r="Z78" s="462"/>
      <c r="AA78" s="462"/>
      <c r="AB78" s="219" t="str">
        <f t="shared" si="48"/>
        <v/>
      </c>
      <c r="AC78" s="221" t="b">
        <f t="shared" si="45"/>
        <v>0</v>
      </c>
      <c r="AD78" s="212" t="str">
        <f t="shared" ca="1" si="46"/>
        <v/>
      </c>
      <c r="AE78" s="111" t="b">
        <f t="shared" ca="1" si="47"/>
        <v>0</v>
      </c>
      <c r="AL78" s="61"/>
      <c r="AM78" s="61"/>
      <c r="AN78" s="61"/>
      <c r="AO78" s="61"/>
      <c r="AP78" s="61"/>
      <c r="AQ78" s="61"/>
      <c r="AR78" s="61"/>
      <c r="AS78" s="54"/>
      <c r="AT78" s="54"/>
      <c r="AU78" s="54"/>
      <c r="AV78" s="57"/>
      <c r="AW78" s="57"/>
      <c r="AX78" s="57"/>
      <c r="AY78" s="57"/>
      <c r="AZ78" s="57"/>
      <c r="BA78" s="57"/>
      <c r="BB78" s="58" t="s">
        <v>225</v>
      </c>
      <c r="BC78" s="293">
        <v>20</v>
      </c>
      <c r="BD78" s="293">
        <v>63.298999999999999</v>
      </c>
      <c r="BE78" s="24">
        <f t="shared" si="15"/>
        <v>216000</v>
      </c>
      <c r="BF78" s="24">
        <f t="shared" si="16"/>
        <v>835546.8</v>
      </c>
    </row>
    <row r="79" spans="1:72" s="24" customFormat="1" ht="13">
      <c r="A79" s="459"/>
      <c r="B79" s="459"/>
      <c r="C79" s="459"/>
      <c r="D79" s="459"/>
      <c r="E79" s="459"/>
      <c r="F79" s="459"/>
      <c r="G79" s="476"/>
      <c r="H79" s="476"/>
      <c r="I79" s="477"/>
      <c r="J79" s="477"/>
      <c r="K79" s="477"/>
      <c r="L79" s="478"/>
      <c r="M79" s="478"/>
      <c r="N79" s="478"/>
      <c r="O79" s="465" t="str">
        <f t="shared" si="44"/>
        <v/>
      </c>
      <c r="P79" s="465"/>
      <c r="Q79" s="456"/>
      <c r="R79" s="456"/>
      <c r="S79" s="484"/>
      <c r="T79" s="484"/>
      <c r="U79" s="484"/>
      <c r="V79" s="484"/>
      <c r="W79" s="462" t="str" cm="1">
        <f t="array" aca="1" ref="W79" ca="1">IF(AC79,"Check Shading Coefficient",IF(AE79,"Check Category",IF(AB79="Incomplete","Incomplete",IF(A79="","",_xlfn.XLOOKUP(A79,$AE$247:$AE$247,$AG$247:$AG$247,FALSE)*S79))))</f>
        <v/>
      </c>
      <c r="X79" s="462"/>
      <c r="Y79" s="462"/>
      <c r="Z79" s="462"/>
      <c r="AA79" s="462"/>
      <c r="AB79" s="219" t="str">
        <f t="shared" si="48"/>
        <v/>
      </c>
      <c r="AC79" s="221" t="b">
        <f t="shared" si="45"/>
        <v>0</v>
      </c>
      <c r="AD79" s="212" t="str">
        <f t="shared" ca="1" si="46"/>
        <v/>
      </c>
      <c r="AE79" s="111" t="b">
        <f t="shared" ca="1" si="47"/>
        <v>0</v>
      </c>
      <c r="AL79" s="61"/>
      <c r="AM79" s="61"/>
      <c r="AN79" s="61"/>
      <c r="AO79" s="61"/>
      <c r="AP79" s="61"/>
      <c r="AQ79" s="61"/>
      <c r="AR79" s="61"/>
      <c r="AS79" s="54"/>
      <c r="AT79" s="54"/>
      <c r="AU79" s="54"/>
      <c r="AV79" s="57"/>
      <c r="AW79" s="57"/>
      <c r="AX79" s="57"/>
      <c r="AY79" s="57"/>
      <c r="AZ79" s="57"/>
      <c r="BA79" s="57"/>
      <c r="BB79" s="58" t="s">
        <v>226</v>
      </c>
      <c r="BC79" s="293">
        <v>5.4</v>
      </c>
      <c r="BD79" s="293">
        <v>11.2499</v>
      </c>
      <c r="BE79" s="24">
        <f t="shared" si="15"/>
        <v>58320.000000000007</v>
      </c>
      <c r="BF79" s="24">
        <f t="shared" si="16"/>
        <v>148498.68</v>
      </c>
    </row>
    <row r="80" spans="1:72" s="24" customFormat="1" ht="13">
      <c r="A80" s="459"/>
      <c r="B80" s="459"/>
      <c r="C80" s="459"/>
      <c r="D80" s="459"/>
      <c r="E80" s="459"/>
      <c r="F80" s="459"/>
      <c r="G80" s="476"/>
      <c r="H80" s="476"/>
      <c r="I80" s="477"/>
      <c r="J80" s="477"/>
      <c r="K80" s="477"/>
      <c r="L80" s="478"/>
      <c r="M80" s="478"/>
      <c r="N80" s="478"/>
      <c r="O80" s="465" t="str">
        <f t="shared" si="44"/>
        <v/>
      </c>
      <c r="P80" s="465"/>
      <c r="Q80" s="456"/>
      <c r="R80" s="456"/>
      <c r="S80" s="484"/>
      <c r="T80" s="484"/>
      <c r="U80" s="484"/>
      <c r="V80" s="484"/>
      <c r="W80" s="417" t="str" cm="1">
        <f t="array" aca="1" ref="W80" ca="1">IF(AC80,"Check Shading Coefficient",IF(AE80,"Check Category",IF(AB80="Incomplete","Incomplete",IF(A80="","",_xlfn.XLOOKUP(A80,$AE$247:$AE$247,$AG$247:$AG$247,FALSE)*S80))))</f>
        <v/>
      </c>
      <c r="X80" s="417"/>
      <c r="Y80" s="417"/>
      <c r="Z80" s="417"/>
      <c r="AA80" s="417"/>
      <c r="AB80" s="219" t="str">
        <f t="shared" si="48"/>
        <v/>
      </c>
      <c r="AC80" s="221" t="b">
        <f t="shared" si="45"/>
        <v>0</v>
      </c>
      <c r="AD80" s="212" t="str">
        <f t="shared" ca="1" si="46"/>
        <v/>
      </c>
      <c r="AE80" s="111" t="b">
        <f t="shared" ca="1" si="47"/>
        <v>0</v>
      </c>
      <c r="AK80" s="223"/>
      <c r="AL80" s="77"/>
      <c r="AM80" s="61"/>
      <c r="AN80" s="61"/>
      <c r="AO80" s="61"/>
      <c r="AP80" s="61"/>
      <c r="AQ80" s="61"/>
      <c r="AR80" s="61"/>
      <c r="AS80" s="54"/>
      <c r="AT80" s="54"/>
      <c r="AU80" s="54"/>
      <c r="AV80" s="57"/>
      <c r="AW80" s="57"/>
      <c r="AX80" s="57"/>
      <c r="AY80" s="57"/>
      <c r="AZ80" s="57"/>
      <c r="BA80" s="57"/>
      <c r="BB80" s="58" t="s">
        <v>227</v>
      </c>
      <c r="BC80" s="293">
        <v>6</v>
      </c>
      <c r="BD80" s="293">
        <v>10.99</v>
      </c>
      <c r="BE80" s="24">
        <f t="shared" si="15"/>
        <v>64800.000000000007</v>
      </c>
      <c r="BF80" s="24">
        <f t="shared" si="16"/>
        <v>145068</v>
      </c>
    </row>
    <row r="81" spans="1:72" s="24" customFormat="1" ht="24.75" customHeight="1" thickBot="1">
      <c r="A81" s="39"/>
      <c r="B81" s="39"/>
      <c r="C81" s="39"/>
      <c r="D81" s="39"/>
      <c r="E81" s="39"/>
      <c r="F81" s="39"/>
      <c r="G81" s="40"/>
      <c r="H81" s="40"/>
      <c r="I81" s="40"/>
      <c r="J81" s="40"/>
      <c r="K81" s="40"/>
      <c r="L81" s="41"/>
      <c r="M81" s="41"/>
      <c r="N81" s="41"/>
      <c r="O81" s="41"/>
      <c r="P81" s="40"/>
      <c r="Q81" s="40"/>
      <c r="R81" s="42"/>
      <c r="S81" s="42"/>
      <c r="T81" s="34"/>
      <c r="U81" s="34"/>
      <c r="V81" s="40"/>
      <c r="W81" s="40"/>
      <c r="X81" s="43"/>
      <c r="Y81" s="43"/>
      <c r="Z81" s="43"/>
      <c r="AA81" s="355" t="s">
        <v>202</v>
      </c>
      <c r="AB81" s="209"/>
      <c r="AC81" s="210"/>
      <c r="AD81" s="210"/>
      <c r="AK81" s="223"/>
      <c r="AL81" s="77"/>
      <c r="AM81" s="61"/>
      <c r="AN81" s="61"/>
      <c r="AO81" s="61"/>
      <c r="AP81" s="61"/>
      <c r="AQ81" s="61"/>
      <c r="AR81" s="61"/>
      <c r="AS81" s="54"/>
      <c r="AT81" s="54"/>
      <c r="AU81" s="54"/>
      <c r="AV81" s="57"/>
      <c r="AW81" s="57"/>
      <c r="AX81" s="57"/>
      <c r="AY81" s="57"/>
      <c r="AZ81" s="57"/>
      <c r="BA81" s="57"/>
      <c r="BB81" s="111"/>
      <c r="BC81" s="293"/>
      <c r="BD81" s="293"/>
      <c r="BE81" s="24">
        <f t="shared" si="15"/>
        <v>0</v>
      </c>
      <c r="BF81" s="24">
        <f t="shared" si="16"/>
        <v>0</v>
      </c>
    </row>
    <row r="82" spans="1:72" s="24" customFormat="1" ht="21.75" customHeight="1" thickBot="1">
      <c r="A82" s="455" t="s">
        <v>228</v>
      </c>
      <c r="B82" s="455"/>
      <c r="C82" s="455"/>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215"/>
      <c r="AC82" s="216"/>
      <c r="AD82" s="216"/>
      <c r="AK82" s="223"/>
      <c r="AL82" s="77"/>
      <c r="AM82" s="61"/>
      <c r="AN82" s="61"/>
      <c r="AO82" s="61"/>
      <c r="AP82" s="61"/>
      <c r="AQ82" s="61"/>
      <c r="AR82" s="61"/>
      <c r="AS82" s="57"/>
      <c r="AT82" s="57"/>
      <c r="AU82" s="57"/>
      <c r="AV82" s="57"/>
      <c r="AW82" s="57"/>
      <c r="AX82" s="57"/>
      <c r="AY82" s="57"/>
      <c r="AZ82" s="57"/>
      <c r="BA82" s="57"/>
      <c r="BB82" s="111"/>
      <c r="BC82" s="293"/>
      <c r="BD82" s="293"/>
      <c r="BE82" s="24">
        <f t="shared" si="15"/>
        <v>0</v>
      </c>
      <c r="BF82" s="24">
        <f t="shared" si="16"/>
        <v>0</v>
      </c>
    </row>
    <row r="83" spans="1:72" s="24" customFormat="1" ht="38.25" customHeight="1">
      <c r="A83" s="469" t="s">
        <v>19</v>
      </c>
      <c r="B83" s="469"/>
      <c r="C83" s="469"/>
      <c r="D83" s="469"/>
      <c r="E83" s="469"/>
      <c r="F83" s="469"/>
      <c r="G83" s="469"/>
      <c r="H83" s="482" t="s">
        <v>229</v>
      </c>
      <c r="I83" s="482"/>
      <c r="J83" s="482"/>
      <c r="K83" s="482"/>
      <c r="L83" s="482"/>
      <c r="M83" s="482"/>
      <c r="N83" s="482"/>
      <c r="O83" s="474" t="s">
        <v>230</v>
      </c>
      <c r="P83" s="474"/>
      <c r="Q83" s="474"/>
      <c r="R83" s="474"/>
      <c r="S83" s="474"/>
      <c r="T83" s="474"/>
      <c r="U83" s="474" t="s">
        <v>122</v>
      </c>
      <c r="V83" s="474"/>
      <c r="W83" s="474"/>
      <c r="X83" s="474"/>
      <c r="Y83" s="474"/>
      <c r="Z83" s="474"/>
      <c r="AA83" s="474"/>
      <c r="AB83" s="214"/>
      <c r="AC83" s="212" t="s">
        <v>217</v>
      </c>
      <c r="AD83" s="212"/>
      <c r="AE83" s="111" t="s">
        <v>133</v>
      </c>
      <c r="AF83" s="233"/>
      <c r="AG83" s="233"/>
      <c r="AH83" s="234"/>
      <c r="AK83" s="223"/>
      <c r="AL83" s="77"/>
      <c r="AM83" s="61"/>
      <c r="AN83" s="61"/>
      <c r="AO83" s="61"/>
      <c r="AP83" s="61"/>
      <c r="AQ83" s="61"/>
      <c r="AR83" s="61"/>
      <c r="AS83" s="57"/>
      <c r="AT83" s="57"/>
      <c r="AU83" s="57"/>
      <c r="AV83" s="57"/>
      <c r="AW83" s="78"/>
      <c r="AX83" s="57"/>
      <c r="AY83" s="57"/>
      <c r="AZ83" s="57"/>
      <c r="BA83" s="57"/>
      <c r="BB83" s="58" t="s">
        <v>231</v>
      </c>
      <c r="BC83" s="293">
        <v>3</v>
      </c>
      <c r="BD83" s="293">
        <v>3</v>
      </c>
      <c r="BE83" s="24">
        <f t="shared" si="15"/>
        <v>32400.000000000004</v>
      </c>
      <c r="BF83" s="24">
        <f t="shared" si="16"/>
        <v>39600</v>
      </c>
    </row>
    <row r="84" spans="1:72" s="24" customFormat="1" ht="12.75" customHeight="1">
      <c r="A84" s="459"/>
      <c r="B84" s="459"/>
      <c r="C84" s="459"/>
      <c r="D84" s="459"/>
      <c r="E84" s="459"/>
      <c r="F84" s="459"/>
      <c r="G84" s="459"/>
      <c r="H84" s="479"/>
      <c r="I84" s="479"/>
      <c r="J84" s="479"/>
      <c r="K84" s="479"/>
      <c r="L84" s="479"/>
      <c r="M84" s="479"/>
      <c r="N84" s="479"/>
      <c r="O84" s="471"/>
      <c r="P84" s="471"/>
      <c r="Q84" s="471"/>
      <c r="R84" s="471"/>
      <c r="S84" s="471"/>
      <c r="T84" s="471"/>
      <c r="U84" s="487" t="str">
        <f t="shared" ref="U84:U92" si="49">IF(AC84="Incomplete","Incomplete",IF(ISBLANK(A84),"",O84*AE84))</f>
        <v/>
      </c>
      <c r="V84" s="487"/>
      <c r="W84" s="487"/>
      <c r="X84" s="487"/>
      <c r="Y84" s="487"/>
      <c r="Z84" s="487"/>
      <c r="AA84" s="487"/>
      <c r="AB84" s="214"/>
      <c r="AC84" s="212" t="str">
        <f>IF(AND(A84&lt;&gt;"",OR(H84="",O84="")),"Incomplete",IF(AND(A84="",OR(H84&lt;&gt;"",O84&lt;&gt;"")),"Incomplete",""))</f>
        <v/>
      </c>
      <c r="AD84" s="212"/>
      <c r="AE84" s="287">
        <f t="shared" ref="AE84:AE93" si="50">_xlfn.XLOOKUP($A84,$AE$163:$AE$313,$AG$163:$AG$313,FALSE)</f>
        <v>0</v>
      </c>
      <c r="AH84" s="235"/>
      <c r="AI84" s="236"/>
      <c r="AL84" s="70"/>
      <c r="AM84" s="61"/>
      <c r="AN84" s="61"/>
      <c r="AO84" s="61"/>
      <c r="AP84" s="61"/>
      <c r="AQ84" s="61"/>
      <c r="AR84" s="61"/>
      <c r="AS84" s="57"/>
      <c r="AT84" s="57"/>
      <c r="AU84" s="57"/>
      <c r="AV84" s="57"/>
      <c r="AW84" s="57"/>
      <c r="AX84" s="57"/>
      <c r="AY84" s="57"/>
      <c r="AZ84" s="57"/>
      <c r="BA84" s="57"/>
      <c r="BB84" s="58" t="s">
        <v>232</v>
      </c>
      <c r="BC84" s="293">
        <v>4</v>
      </c>
      <c r="BD84" s="293">
        <v>4</v>
      </c>
      <c r="BE84" s="24">
        <f t="shared" si="15"/>
        <v>43200</v>
      </c>
      <c r="BF84" s="24">
        <f t="shared" si="16"/>
        <v>52800.000000000007</v>
      </c>
      <c r="BT84" s="331" t="s">
        <v>148</v>
      </c>
    </row>
    <row r="85" spans="1:72" s="24" customFormat="1" ht="12.75" customHeight="1">
      <c r="A85" s="459"/>
      <c r="B85" s="459"/>
      <c r="C85" s="459"/>
      <c r="D85" s="459"/>
      <c r="E85" s="459"/>
      <c r="F85" s="459"/>
      <c r="G85" s="459"/>
      <c r="H85" s="479"/>
      <c r="I85" s="479"/>
      <c r="J85" s="479"/>
      <c r="K85" s="479"/>
      <c r="L85" s="479"/>
      <c r="M85" s="479"/>
      <c r="N85" s="479"/>
      <c r="O85" s="471"/>
      <c r="P85" s="471"/>
      <c r="Q85" s="471"/>
      <c r="R85" s="471"/>
      <c r="S85" s="471"/>
      <c r="T85" s="471"/>
      <c r="U85" s="487" t="str">
        <f t="shared" si="49"/>
        <v/>
      </c>
      <c r="V85" s="487"/>
      <c r="W85" s="487"/>
      <c r="X85" s="487"/>
      <c r="Y85" s="487"/>
      <c r="Z85" s="487"/>
      <c r="AA85" s="487"/>
      <c r="AB85" s="214"/>
      <c r="AC85" s="212" t="str">
        <f t="shared" ref="AC85:AC93" si="51">IF(AND(A85&lt;&gt;"",OR(H85="",O85="")),"Incomplete",IF(AND(A85="",OR(H85&lt;&gt;"",O85&lt;&gt;"")),"Incomplete",""))</f>
        <v/>
      </c>
      <c r="AD85" s="212"/>
      <c r="AE85" s="287">
        <f t="shared" si="50"/>
        <v>0</v>
      </c>
      <c r="AH85" s="235"/>
      <c r="AI85" s="236"/>
      <c r="AL85" s="70"/>
      <c r="AM85" s="61"/>
      <c r="AN85" s="61"/>
      <c r="AO85" s="61"/>
      <c r="AP85" s="61"/>
      <c r="AQ85" s="61"/>
      <c r="AR85" s="61"/>
      <c r="AS85" s="57"/>
      <c r="AT85" s="57"/>
      <c r="AU85" s="57"/>
      <c r="AV85" s="57"/>
      <c r="AW85" s="80"/>
      <c r="AX85" s="57"/>
      <c r="AY85" s="57"/>
      <c r="AZ85" s="57"/>
      <c r="BA85" s="57"/>
      <c r="BB85" s="58" t="s">
        <v>233</v>
      </c>
      <c r="BC85" s="293">
        <v>5</v>
      </c>
      <c r="BD85" s="293">
        <v>5</v>
      </c>
      <c r="BE85" s="24">
        <f t="shared" si="15"/>
        <v>54000</v>
      </c>
      <c r="BF85" s="24">
        <f t="shared" si="16"/>
        <v>66000</v>
      </c>
      <c r="BT85" s="331" t="s">
        <v>148</v>
      </c>
    </row>
    <row r="86" spans="1:72" s="24" customFormat="1" ht="12.75" customHeight="1">
      <c r="A86" s="459"/>
      <c r="B86" s="459"/>
      <c r="C86" s="459"/>
      <c r="D86" s="459"/>
      <c r="E86" s="459"/>
      <c r="F86" s="459"/>
      <c r="G86" s="459"/>
      <c r="H86" s="479"/>
      <c r="I86" s="479"/>
      <c r="J86" s="479"/>
      <c r="K86" s="479"/>
      <c r="L86" s="479"/>
      <c r="M86" s="479"/>
      <c r="N86" s="479"/>
      <c r="O86" s="471"/>
      <c r="P86" s="471"/>
      <c r="Q86" s="471"/>
      <c r="R86" s="471"/>
      <c r="S86" s="471"/>
      <c r="T86" s="471"/>
      <c r="U86" s="487" t="str">
        <f t="shared" si="49"/>
        <v/>
      </c>
      <c r="V86" s="487"/>
      <c r="W86" s="487"/>
      <c r="X86" s="487"/>
      <c r="Y86" s="487"/>
      <c r="Z86" s="487"/>
      <c r="AA86" s="487"/>
      <c r="AB86" s="214"/>
      <c r="AC86" s="212" t="str">
        <f t="shared" si="51"/>
        <v/>
      </c>
      <c r="AD86" s="212"/>
      <c r="AE86" s="287">
        <f t="shared" si="50"/>
        <v>0</v>
      </c>
      <c r="AH86" s="235"/>
      <c r="AI86" s="236"/>
      <c r="AL86" s="54"/>
      <c r="AM86" s="81"/>
      <c r="AN86" s="57"/>
      <c r="AO86" s="61"/>
      <c r="AP86" s="61"/>
      <c r="AQ86" s="61"/>
      <c r="AR86" s="61"/>
      <c r="AS86" s="68"/>
      <c r="AT86" s="57"/>
      <c r="AU86" s="57"/>
      <c r="AV86" s="57"/>
      <c r="AW86" s="78"/>
      <c r="AX86" s="76"/>
      <c r="AY86" s="76"/>
      <c r="AZ86" s="76"/>
      <c r="BA86" s="76"/>
      <c r="BB86" s="61" t="s">
        <v>29</v>
      </c>
      <c r="BC86" s="293">
        <v>300</v>
      </c>
      <c r="BD86" s="293">
        <v>399.99900000000002</v>
      </c>
      <c r="BE86" s="24">
        <f t="shared" si="15"/>
        <v>3240000</v>
      </c>
      <c r="BF86" s="24">
        <f t="shared" si="16"/>
        <v>5279986.8000000007</v>
      </c>
    </row>
    <row r="87" spans="1:72" s="24" customFormat="1" ht="12.75" customHeight="1">
      <c r="A87" s="459"/>
      <c r="B87" s="459"/>
      <c r="C87" s="459"/>
      <c r="D87" s="459"/>
      <c r="E87" s="459"/>
      <c r="F87" s="459"/>
      <c r="G87" s="459"/>
      <c r="H87" s="479"/>
      <c r="I87" s="479"/>
      <c r="J87" s="479"/>
      <c r="K87" s="479"/>
      <c r="L87" s="479"/>
      <c r="M87" s="479"/>
      <c r="N87" s="479"/>
      <c r="O87" s="471"/>
      <c r="P87" s="471"/>
      <c r="Q87" s="471"/>
      <c r="R87" s="471"/>
      <c r="S87" s="471"/>
      <c r="T87" s="471"/>
      <c r="U87" s="487" t="str">
        <f t="shared" si="49"/>
        <v/>
      </c>
      <c r="V87" s="487"/>
      <c r="W87" s="487"/>
      <c r="X87" s="487"/>
      <c r="Y87" s="487"/>
      <c r="Z87" s="487"/>
      <c r="AA87" s="487"/>
      <c r="AB87" s="214"/>
      <c r="AC87" s="212" t="str">
        <f t="shared" si="51"/>
        <v/>
      </c>
      <c r="AD87" s="212"/>
      <c r="AE87" s="287">
        <f t="shared" si="50"/>
        <v>0</v>
      </c>
      <c r="AH87" s="235"/>
      <c r="AI87" s="236"/>
      <c r="AL87" s="54"/>
      <c r="AM87" s="81"/>
      <c r="AN87" s="61"/>
      <c r="AO87" s="61"/>
      <c r="AP87" s="61"/>
      <c r="AQ87" s="61"/>
      <c r="AR87" s="61"/>
      <c r="AS87" s="76"/>
      <c r="AT87" s="76"/>
      <c r="AU87" s="76"/>
      <c r="AV87" s="57"/>
      <c r="AW87" s="56"/>
      <c r="AX87" s="56"/>
      <c r="AY87" s="56"/>
      <c r="AZ87" s="56"/>
      <c r="BA87" s="56"/>
      <c r="BB87" s="61" t="s">
        <v>30</v>
      </c>
      <c r="BC87" s="293">
        <v>400</v>
      </c>
      <c r="BD87" s="293">
        <v>599.99900000000002</v>
      </c>
      <c r="BE87" s="24">
        <f t="shared" si="15"/>
        <v>4320000</v>
      </c>
      <c r="BF87" s="24">
        <f t="shared" si="16"/>
        <v>7919986.8000000007</v>
      </c>
    </row>
    <row r="88" spans="1:72" s="24" customFormat="1" ht="12.75" customHeight="1">
      <c r="A88" s="459"/>
      <c r="B88" s="459"/>
      <c r="C88" s="459"/>
      <c r="D88" s="459"/>
      <c r="E88" s="459"/>
      <c r="F88" s="459"/>
      <c r="G88" s="459"/>
      <c r="H88" s="479"/>
      <c r="I88" s="479"/>
      <c r="J88" s="479"/>
      <c r="K88" s="479"/>
      <c r="L88" s="479"/>
      <c r="M88" s="479"/>
      <c r="N88" s="479"/>
      <c r="O88" s="471"/>
      <c r="P88" s="471"/>
      <c r="Q88" s="471"/>
      <c r="R88" s="471"/>
      <c r="S88" s="471"/>
      <c r="T88" s="471"/>
      <c r="U88" s="487" t="str">
        <f t="shared" si="49"/>
        <v/>
      </c>
      <c r="V88" s="487"/>
      <c r="W88" s="487"/>
      <c r="X88" s="487"/>
      <c r="Y88" s="487"/>
      <c r="Z88" s="487"/>
      <c r="AA88" s="487"/>
      <c r="AB88" s="214"/>
      <c r="AC88" s="212" t="str">
        <f t="shared" si="51"/>
        <v/>
      </c>
      <c r="AD88" s="212"/>
      <c r="AE88" s="287">
        <f t="shared" si="50"/>
        <v>0</v>
      </c>
      <c r="AH88" s="235"/>
      <c r="AI88" s="236"/>
      <c r="AL88" s="54"/>
      <c r="AM88" s="81"/>
      <c r="AN88" s="61"/>
      <c r="AO88" s="61"/>
      <c r="AP88" s="61"/>
      <c r="AQ88" s="61"/>
      <c r="AR88" s="61"/>
      <c r="AS88" s="76"/>
      <c r="AT88" s="76"/>
      <c r="AU88" s="76"/>
      <c r="AV88" s="57"/>
      <c r="AW88" s="56"/>
      <c r="AX88" s="56"/>
      <c r="AY88" s="56"/>
      <c r="AZ88" s="56"/>
      <c r="BA88" s="56"/>
      <c r="BB88" s="24" t="s">
        <v>234</v>
      </c>
      <c r="BC88" s="293">
        <v>0</v>
      </c>
      <c r="BD88" s="293">
        <v>74.998999999999995</v>
      </c>
      <c r="BE88" s="24">
        <f t="shared" si="15"/>
        <v>0</v>
      </c>
      <c r="BF88" s="24">
        <f t="shared" si="16"/>
        <v>989986.8</v>
      </c>
    </row>
    <row r="89" spans="1:72" s="24" customFormat="1" ht="12.75" customHeight="1">
      <c r="A89" s="459"/>
      <c r="B89" s="459"/>
      <c r="C89" s="459"/>
      <c r="D89" s="459"/>
      <c r="E89" s="459"/>
      <c r="F89" s="459"/>
      <c r="G89" s="459"/>
      <c r="H89" s="479"/>
      <c r="I89" s="479"/>
      <c r="J89" s="479"/>
      <c r="K89" s="479"/>
      <c r="L89" s="479"/>
      <c r="M89" s="479"/>
      <c r="N89" s="479"/>
      <c r="O89" s="471"/>
      <c r="P89" s="471"/>
      <c r="Q89" s="471"/>
      <c r="R89" s="471"/>
      <c r="S89" s="471"/>
      <c r="T89" s="471"/>
      <c r="U89" s="487" t="str">
        <f t="shared" si="49"/>
        <v/>
      </c>
      <c r="V89" s="487"/>
      <c r="W89" s="487"/>
      <c r="X89" s="487"/>
      <c r="Y89" s="487"/>
      <c r="Z89" s="487"/>
      <c r="AA89" s="487"/>
      <c r="AB89" s="214"/>
      <c r="AC89" s="212" t="str">
        <f t="shared" si="51"/>
        <v/>
      </c>
      <c r="AD89" s="212"/>
      <c r="AE89" s="346">
        <f t="shared" si="50"/>
        <v>0</v>
      </c>
      <c r="AH89" s="235"/>
      <c r="AI89" s="236"/>
      <c r="AL89" s="54"/>
      <c r="AM89" s="81"/>
      <c r="AN89" s="61"/>
      <c r="AO89" s="61"/>
      <c r="AP89" s="61"/>
      <c r="AQ89" s="61"/>
      <c r="AR89" s="61"/>
      <c r="AS89" s="76"/>
      <c r="AT89" s="76"/>
      <c r="AU89" s="76"/>
      <c r="AV89" s="57"/>
      <c r="AW89" s="56"/>
      <c r="AX89" s="56"/>
      <c r="AY89" s="56"/>
      <c r="AZ89" s="56"/>
      <c r="BA89" s="56"/>
      <c r="BB89" s="24" t="s">
        <v>235</v>
      </c>
      <c r="BC89" s="293">
        <v>75</v>
      </c>
      <c r="BD89" s="293">
        <v>149.999</v>
      </c>
      <c r="BE89" s="24">
        <f t="shared" si="15"/>
        <v>810000</v>
      </c>
      <c r="BF89" s="24">
        <f t="shared" si="16"/>
        <v>1979986.8000000003</v>
      </c>
    </row>
    <row r="90" spans="1:72" s="24" customFormat="1" ht="12.75" customHeight="1">
      <c r="A90" s="459"/>
      <c r="B90" s="459"/>
      <c r="C90" s="459"/>
      <c r="D90" s="459"/>
      <c r="E90" s="459"/>
      <c r="F90" s="459"/>
      <c r="G90" s="459"/>
      <c r="H90" s="479"/>
      <c r="I90" s="479"/>
      <c r="J90" s="479"/>
      <c r="K90" s="479"/>
      <c r="L90" s="479"/>
      <c r="M90" s="479"/>
      <c r="N90" s="479"/>
      <c r="O90" s="471"/>
      <c r="P90" s="471"/>
      <c r="Q90" s="471"/>
      <c r="R90" s="471"/>
      <c r="S90" s="471"/>
      <c r="T90" s="471"/>
      <c r="U90" s="487" t="str">
        <f t="shared" si="49"/>
        <v/>
      </c>
      <c r="V90" s="487"/>
      <c r="W90" s="487"/>
      <c r="X90" s="487"/>
      <c r="Y90" s="487"/>
      <c r="Z90" s="487"/>
      <c r="AA90" s="487"/>
      <c r="AB90" s="214"/>
      <c r="AC90" s="212" t="str">
        <f t="shared" si="51"/>
        <v/>
      </c>
      <c r="AD90" s="212"/>
      <c r="AE90" s="346">
        <f t="shared" si="50"/>
        <v>0</v>
      </c>
      <c r="AH90" s="235"/>
      <c r="AI90" s="236"/>
      <c r="AL90" s="54"/>
      <c r="AM90" s="81"/>
      <c r="AN90" s="61"/>
      <c r="AO90" s="61"/>
      <c r="AP90" s="61"/>
      <c r="AQ90" s="61"/>
      <c r="AR90" s="61"/>
      <c r="AS90" s="76"/>
      <c r="AT90" s="76"/>
      <c r="AU90" s="76"/>
      <c r="AV90" s="57"/>
      <c r="AW90" s="56"/>
      <c r="AX90" s="56"/>
      <c r="AY90" s="56"/>
      <c r="AZ90" s="56"/>
      <c r="BA90" s="56"/>
      <c r="BB90" s="61" t="s">
        <v>236</v>
      </c>
      <c r="BC90" s="293">
        <v>300</v>
      </c>
      <c r="BD90" s="293">
        <v>599.99900000000002</v>
      </c>
      <c r="BE90" s="24">
        <f t="shared" si="15"/>
        <v>3240000</v>
      </c>
      <c r="BF90" s="24">
        <f t="shared" si="16"/>
        <v>7919986.8000000007</v>
      </c>
    </row>
    <row r="91" spans="1:72" s="24" customFormat="1" ht="12.75" customHeight="1">
      <c r="A91" s="459"/>
      <c r="B91" s="459"/>
      <c r="C91" s="459"/>
      <c r="D91" s="459"/>
      <c r="E91" s="459"/>
      <c r="F91" s="459"/>
      <c r="G91" s="459"/>
      <c r="H91" s="479"/>
      <c r="I91" s="479"/>
      <c r="J91" s="479"/>
      <c r="K91" s="479"/>
      <c r="L91" s="479"/>
      <c r="M91" s="479"/>
      <c r="N91" s="479"/>
      <c r="O91" s="471"/>
      <c r="P91" s="471"/>
      <c r="Q91" s="471"/>
      <c r="R91" s="471"/>
      <c r="S91" s="471"/>
      <c r="T91" s="471"/>
      <c r="U91" s="487" t="str">
        <f t="shared" si="49"/>
        <v/>
      </c>
      <c r="V91" s="487"/>
      <c r="W91" s="487"/>
      <c r="X91" s="487"/>
      <c r="Y91" s="487"/>
      <c r="Z91" s="487"/>
      <c r="AA91" s="487"/>
      <c r="AB91" s="214"/>
      <c r="AC91" s="212" t="str">
        <f t="shared" si="51"/>
        <v/>
      </c>
      <c r="AD91" s="212"/>
      <c r="AE91" s="346">
        <f t="shared" si="50"/>
        <v>0</v>
      </c>
      <c r="AH91" s="235"/>
      <c r="AI91" s="236"/>
      <c r="AL91" s="54"/>
      <c r="AM91" s="81"/>
      <c r="AN91" s="61"/>
      <c r="AO91" s="61"/>
      <c r="AP91" s="61"/>
      <c r="AQ91" s="61"/>
      <c r="AR91" s="61"/>
      <c r="AS91" s="76"/>
      <c r="AT91" s="76"/>
      <c r="AU91" s="76"/>
      <c r="AV91" s="57"/>
      <c r="AW91" s="56"/>
      <c r="AX91" s="56"/>
      <c r="AY91" s="56"/>
      <c r="AZ91" s="56"/>
      <c r="BA91" s="56"/>
    </row>
    <row r="92" spans="1:72" s="24" customFormat="1" ht="12.75" customHeight="1">
      <c r="A92" s="459"/>
      <c r="B92" s="459"/>
      <c r="C92" s="459"/>
      <c r="D92" s="459"/>
      <c r="E92" s="459"/>
      <c r="F92" s="459"/>
      <c r="G92" s="459"/>
      <c r="H92" s="479"/>
      <c r="I92" s="479"/>
      <c r="J92" s="479"/>
      <c r="K92" s="479"/>
      <c r="L92" s="479"/>
      <c r="M92" s="479"/>
      <c r="N92" s="479"/>
      <c r="O92" s="471"/>
      <c r="P92" s="471"/>
      <c r="Q92" s="471"/>
      <c r="R92" s="471"/>
      <c r="S92" s="471"/>
      <c r="T92" s="471"/>
      <c r="U92" s="487" t="str">
        <f t="shared" si="49"/>
        <v/>
      </c>
      <c r="V92" s="487"/>
      <c r="W92" s="487"/>
      <c r="X92" s="487"/>
      <c r="Y92" s="487"/>
      <c r="Z92" s="487"/>
      <c r="AA92" s="487"/>
      <c r="AB92" s="214"/>
      <c r="AC92" s="212" t="str">
        <f t="shared" si="51"/>
        <v/>
      </c>
      <c r="AD92" s="212"/>
      <c r="AE92" s="346">
        <f t="shared" si="50"/>
        <v>0</v>
      </c>
      <c r="AH92" s="235"/>
      <c r="AI92" s="236"/>
      <c r="AL92" s="54"/>
      <c r="AM92" s="81"/>
      <c r="AN92" s="61"/>
      <c r="AO92" s="61"/>
      <c r="AP92" s="61"/>
      <c r="AQ92" s="61"/>
      <c r="AR92" s="61"/>
      <c r="AS92" s="76"/>
      <c r="AT92" s="76"/>
      <c r="AU92" s="76"/>
      <c r="AV92" s="57"/>
      <c r="AW92" s="56"/>
      <c r="AX92" s="56"/>
      <c r="AY92" s="56"/>
      <c r="AZ92" s="56"/>
      <c r="BA92" s="56"/>
      <c r="BB92" s="56"/>
    </row>
    <row r="93" spans="1:72" s="24" customFormat="1" ht="12.75" customHeight="1">
      <c r="A93" s="459"/>
      <c r="B93" s="459"/>
      <c r="C93" s="459"/>
      <c r="D93" s="459"/>
      <c r="E93" s="459"/>
      <c r="F93" s="459"/>
      <c r="G93" s="459"/>
      <c r="H93" s="479"/>
      <c r="I93" s="479"/>
      <c r="J93" s="479"/>
      <c r="K93" s="479"/>
      <c r="L93" s="479"/>
      <c r="M93" s="479"/>
      <c r="N93" s="479"/>
      <c r="O93" s="471"/>
      <c r="P93" s="471"/>
      <c r="Q93" s="471"/>
      <c r="R93" s="471"/>
      <c r="S93" s="471"/>
      <c r="T93" s="471"/>
      <c r="U93" s="495" t="str">
        <f t="shared" ref="U93" si="52">IF(AC93="Incomplete","Incomplete",IF(ISBLANK(A93),"",O93*AE93))</f>
        <v/>
      </c>
      <c r="V93" s="495"/>
      <c r="W93" s="495"/>
      <c r="X93" s="495"/>
      <c r="Y93" s="495"/>
      <c r="Z93" s="495"/>
      <c r="AA93" s="495"/>
      <c r="AB93" s="214"/>
      <c r="AC93" s="212" t="str">
        <f t="shared" si="51"/>
        <v/>
      </c>
      <c r="AD93" s="212"/>
      <c r="AE93" s="346">
        <f t="shared" si="50"/>
        <v>0</v>
      </c>
      <c r="AH93" s="235"/>
      <c r="AI93" s="236"/>
      <c r="AL93" s="54"/>
      <c r="AM93" s="81"/>
      <c r="AN93" s="54"/>
      <c r="AO93" s="54"/>
      <c r="AP93" s="54"/>
      <c r="AQ93" s="54"/>
      <c r="AR93" s="54"/>
      <c r="AS93" s="61"/>
      <c r="AT93" s="61"/>
      <c r="AU93" s="61"/>
      <c r="AV93" s="54"/>
      <c r="AW93" s="54"/>
      <c r="AX93" s="54"/>
      <c r="AY93" s="54"/>
      <c r="AZ93" s="54"/>
      <c r="BA93" s="54"/>
      <c r="BB93" s="54"/>
    </row>
    <row r="94" spans="1:72" s="24" customFormat="1" ht="12.75" customHeight="1" thickBot="1">
      <c r="A94" s="39"/>
      <c r="B94" s="39"/>
      <c r="C94" s="39"/>
      <c r="D94" s="39"/>
      <c r="E94" s="39"/>
      <c r="F94" s="39"/>
      <c r="G94" s="40"/>
      <c r="H94" s="40"/>
      <c r="I94" s="40"/>
      <c r="J94" s="40"/>
      <c r="K94" s="40"/>
      <c r="L94" s="41"/>
      <c r="M94" s="41"/>
      <c r="N94" s="41"/>
      <c r="O94" s="41"/>
      <c r="P94" s="40"/>
      <c r="Q94" s="40"/>
      <c r="R94" s="42"/>
      <c r="S94" s="42"/>
      <c r="T94" s="34"/>
      <c r="U94" s="34"/>
      <c r="V94" s="40"/>
      <c r="W94" s="40"/>
      <c r="X94" s="43"/>
      <c r="Y94" s="43"/>
      <c r="Z94" s="43"/>
      <c r="AA94" s="44" t="s">
        <v>202</v>
      </c>
      <c r="AB94" s="209"/>
      <c r="AC94" s="210"/>
      <c r="AD94" s="210"/>
      <c r="AH94" s="235"/>
      <c r="AI94" s="236"/>
      <c r="AL94" s="54"/>
      <c r="AM94" s="81"/>
      <c r="AN94" s="54"/>
      <c r="AO94" s="54"/>
      <c r="AP94" s="54"/>
      <c r="AQ94" s="54"/>
      <c r="AR94" s="54"/>
      <c r="AS94" s="61"/>
      <c r="AT94" s="61"/>
      <c r="AU94" s="61"/>
      <c r="AV94" s="54"/>
      <c r="AW94" s="54"/>
      <c r="AX94" s="54"/>
      <c r="AY94" s="54"/>
      <c r="AZ94" s="54"/>
      <c r="BA94" s="54"/>
      <c r="BB94" s="54"/>
    </row>
    <row r="95" spans="1:72" s="24" customFormat="1" ht="21" customHeight="1" thickBot="1">
      <c r="A95" s="455" t="s">
        <v>237</v>
      </c>
      <c r="B95" s="455"/>
      <c r="C95" s="455"/>
      <c r="D95" s="455"/>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215"/>
      <c r="AC95" s="216"/>
      <c r="AD95" s="216"/>
      <c r="AH95" s="235"/>
      <c r="AI95" s="236"/>
      <c r="AL95" s="54"/>
      <c r="AM95" s="81"/>
      <c r="AN95" s="54"/>
      <c r="AO95" s="54"/>
      <c r="AP95" s="54"/>
      <c r="AQ95" s="54"/>
      <c r="AR95" s="54"/>
      <c r="AS95" s="61"/>
      <c r="AT95" s="61"/>
      <c r="AU95" s="61"/>
      <c r="AV95" s="54"/>
      <c r="AW95" s="54"/>
      <c r="AX95" s="54"/>
      <c r="AY95" s="54"/>
      <c r="AZ95" s="54"/>
      <c r="BA95" s="54"/>
      <c r="BB95" s="54"/>
    </row>
    <row r="96" spans="1:72" s="24" customFormat="1" ht="33" customHeight="1">
      <c r="A96" s="469" t="s">
        <v>19</v>
      </c>
      <c r="B96" s="469"/>
      <c r="C96" s="469"/>
      <c r="D96" s="469"/>
      <c r="E96" s="469"/>
      <c r="F96" s="469"/>
      <c r="G96" s="469"/>
      <c r="H96" s="482" t="s">
        <v>229</v>
      </c>
      <c r="I96" s="488"/>
      <c r="J96" s="488"/>
      <c r="K96" s="488"/>
      <c r="L96" s="489"/>
      <c r="M96" s="474" t="s">
        <v>238</v>
      </c>
      <c r="N96" s="474"/>
      <c r="O96" s="474"/>
      <c r="P96" s="474"/>
      <c r="Q96" s="474" t="s">
        <v>239</v>
      </c>
      <c r="R96" s="474"/>
      <c r="S96" s="474"/>
      <c r="T96" s="474"/>
      <c r="U96" s="474" t="s">
        <v>122</v>
      </c>
      <c r="V96" s="474"/>
      <c r="W96" s="474"/>
      <c r="X96" s="474"/>
      <c r="Y96" s="474"/>
      <c r="Z96" s="474"/>
      <c r="AA96" s="474"/>
      <c r="AB96" s="214"/>
      <c r="AC96" s="212" t="s">
        <v>217</v>
      </c>
      <c r="AD96" s="212"/>
      <c r="AE96" s="111" t="s">
        <v>133</v>
      </c>
      <c r="AH96" s="235"/>
      <c r="AI96" s="236"/>
      <c r="AL96" s="54"/>
      <c r="AM96" s="81"/>
      <c r="AN96" s="54"/>
      <c r="AO96" s="54"/>
      <c r="AP96" s="54"/>
      <c r="AQ96" s="54"/>
      <c r="AR96" s="54"/>
      <c r="AS96" s="61"/>
      <c r="AT96" s="61"/>
      <c r="AU96" s="61"/>
      <c r="AV96" s="54"/>
      <c r="AW96" s="54"/>
      <c r="AX96" s="54"/>
      <c r="AY96" s="54"/>
      <c r="AZ96" s="54"/>
      <c r="BA96" s="54"/>
      <c r="BB96" s="54"/>
    </row>
    <row r="97" spans="1:54" s="24" customFormat="1" ht="12.75" customHeight="1">
      <c r="A97" s="459"/>
      <c r="B97" s="459"/>
      <c r="C97" s="459"/>
      <c r="D97" s="459"/>
      <c r="E97" s="459"/>
      <c r="F97" s="459"/>
      <c r="G97" s="459"/>
      <c r="H97" s="479"/>
      <c r="I97" s="480"/>
      <c r="J97" s="480"/>
      <c r="K97" s="480"/>
      <c r="L97" s="481"/>
      <c r="M97" s="471"/>
      <c r="N97" s="471"/>
      <c r="O97" s="471"/>
      <c r="P97" s="471"/>
      <c r="Q97" s="472"/>
      <c r="R97" s="473"/>
      <c r="S97" s="473"/>
      <c r="T97" s="473"/>
      <c r="U97" s="487" t="str">
        <f t="shared" ref="U97:U106" si="53">IF(AC97="Incomplete","Incomplete",IF(ISBLANK(A97),"",M97*AE97))</f>
        <v/>
      </c>
      <c r="V97" s="487"/>
      <c r="W97" s="487"/>
      <c r="X97" s="487"/>
      <c r="Y97" s="487"/>
      <c r="Z97" s="487"/>
      <c r="AA97" s="487"/>
      <c r="AB97" s="214"/>
      <c r="AC97" s="212" t="str">
        <f t="shared" ref="AC97:AC106" si="54">IF(AND(A97&lt;&gt;"",OR(H97="",M97="")),"Incomplete",IF(AND(A97="",OR(H97&lt;&gt;"",M97&lt;&gt;"")),"Incomplete",""))</f>
        <v/>
      </c>
      <c r="AD97" s="212"/>
      <c r="AE97" s="287">
        <f t="shared" ref="AE97:AE106" si="55">_xlfn.XLOOKUP($A97,$AE$163:$AE$313,$AG$163:$AG$313,FALSE)</f>
        <v>0</v>
      </c>
      <c r="AH97" s="235"/>
      <c r="AI97" s="236"/>
      <c r="AL97" s="54"/>
      <c r="AM97" s="81"/>
      <c r="AN97" s="54"/>
      <c r="AO97" s="54"/>
      <c r="AP97" s="54"/>
      <c r="AQ97" s="54"/>
      <c r="AR97" s="54"/>
      <c r="AS97" s="61"/>
      <c r="AT97" s="61"/>
      <c r="AU97" s="61"/>
      <c r="AV97" s="54"/>
      <c r="AW97" s="54"/>
      <c r="AX97" s="54"/>
      <c r="AY97" s="54"/>
      <c r="AZ97" s="54"/>
      <c r="BA97" s="54"/>
      <c r="BB97" s="54"/>
    </row>
    <row r="98" spans="1:54" s="24" customFormat="1" ht="12.75" customHeight="1">
      <c r="A98" s="459"/>
      <c r="B98" s="459"/>
      <c r="C98" s="459"/>
      <c r="D98" s="459"/>
      <c r="E98" s="459"/>
      <c r="F98" s="459"/>
      <c r="G98" s="459"/>
      <c r="H98" s="479"/>
      <c r="I98" s="480"/>
      <c r="J98" s="480"/>
      <c r="K98" s="480"/>
      <c r="L98" s="481"/>
      <c r="M98" s="471"/>
      <c r="N98" s="471"/>
      <c r="O98" s="471"/>
      <c r="P98" s="471"/>
      <c r="Q98" s="358"/>
      <c r="R98" s="358"/>
      <c r="S98" s="358"/>
      <c r="T98" s="359"/>
      <c r="U98" s="487" t="str">
        <f t="shared" si="53"/>
        <v/>
      </c>
      <c r="V98" s="487"/>
      <c r="W98" s="487"/>
      <c r="X98" s="487"/>
      <c r="Y98" s="487"/>
      <c r="Z98" s="487"/>
      <c r="AA98" s="487"/>
      <c r="AB98" s="214"/>
      <c r="AC98" s="212" t="str">
        <f t="shared" si="54"/>
        <v/>
      </c>
      <c r="AD98" s="212"/>
      <c r="AE98" s="287">
        <f t="shared" si="55"/>
        <v>0</v>
      </c>
      <c r="AH98" s="235"/>
      <c r="AI98" s="236"/>
      <c r="AL98" s="54"/>
      <c r="AM98" s="81"/>
      <c r="AN98" s="54"/>
      <c r="AO98" s="54"/>
      <c r="AP98" s="54"/>
      <c r="AQ98" s="54"/>
      <c r="AR98" s="54"/>
      <c r="AS98" s="61"/>
      <c r="AT98" s="61"/>
      <c r="AU98" s="61"/>
      <c r="AV98" s="54"/>
      <c r="AW98" s="54"/>
      <c r="AX98" s="54"/>
      <c r="AY98" s="54"/>
      <c r="AZ98" s="54"/>
      <c r="BA98" s="54"/>
      <c r="BB98" s="54"/>
    </row>
    <row r="99" spans="1:54" s="24" customFormat="1" ht="12.75" customHeight="1">
      <c r="A99" s="459"/>
      <c r="B99" s="459"/>
      <c r="C99" s="459"/>
      <c r="D99" s="459"/>
      <c r="E99" s="459"/>
      <c r="F99" s="459"/>
      <c r="G99" s="459"/>
      <c r="H99" s="479"/>
      <c r="I99" s="480"/>
      <c r="J99" s="480"/>
      <c r="K99" s="480"/>
      <c r="L99" s="481"/>
      <c r="M99" s="471"/>
      <c r="N99" s="471"/>
      <c r="O99" s="471"/>
      <c r="P99" s="471"/>
      <c r="Q99" s="358"/>
      <c r="R99" s="358"/>
      <c r="S99" s="358"/>
      <c r="T99" s="359"/>
      <c r="U99" s="487" t="str">
        <f t="shared" si="53"/>
        <v/>
      </c>
      <c r="V99" s="487"/>
      <c r="W99" s="487"/>
      <c r="X99" s="487"/>
      <c r="Y99" s="487"/>
      <c r="Z99" s="487"/>
      <c r="AA99" s="487"/>
      <c r="AB99" s="214"/>
      <c r="AC99" s="212" t="str">
        <f t="shared" si="54"/>
        <v/>
      </c>
      <c r="AD99" s="212"/>
      <c r="AE99" s="287">
        <f t="shared" si="55"/>
        <v>0</v>
      </c>
      <c r="AH99" s="235"/>
      <c r="AI99" s="236"/>
      <c r="AL99" s="54"/>
      <c r="AM99" s="81"/>
      <c r="AN99" s="54"/>
      <c r="AO99" s="54"/>
      <c r="AP99" s="54"/>
      <c r="AQ99" s="54"/>
      <c r="AR99" s="54"/>
      <c r="AS99" s="61"/>
      <c r="AT99" s="61"/>
      <c r="AU99" s="61"/>
      <c r="AV99" s="54"/>
      <c r="AW99" s="54"/>
      <c r="AX99" s="54"/>
      <c r="AY99" s="54"/>
      <c r="AZ99" s="54"/>
      <c r="BA99" s="54"/>
      <c r="BB99" s="54"/>
    </row>
    <row r="100" spans="1:54" s="24" customFormat="1" ht="12.75" customHeight="1">
      <c r="A100" s="459"/>
      <c r="B100" s="459"/>
      <c r="C100" s="459"/>
      <c r="D100" s="459"/>
      <c r="E100" s="459"/>
      <c r="F100" s="459"/>
      <c r="G100" s="459"/>
      <c r="H100" s="479"/>
      <c r="I100" s="480"/>
      <c r="J100" s="480"/>
      <c r="K100" s="480"/>
      <c r="L100" s="481"/>
      <c r="M100" s="471"/>
      <c r="N100" s="471"/>
      <c r="O100" s="471"/>
      <c r="P100" s="471"/>
      <c r="Q100" s="358"/>
      <c r="R100" s="358"/>
      <c r="S100" s="358"/>
      <c r="T100" s="359"/>
      <c r="U100" s="487" t="str">
        <f t="shared" si="53"/>
        <v/>
      </c>
      <c r="V100" s="487"/>
      <c r="W100" s="487"/>
      <c r="X100" s="487"/>
      <c r="Y100" s="487"/>
      <c r="Z100" s="487"/>
      <c r="AA100" s="487"/>
      <c r="AB100" s="214"/>
      <c r="AC100" s="212" t="str">
        <f t="shared" si="54"/>
        <v/>
      </c>
      <c r="AD100" s="212"/>
      <c r="AE100" s="287">
        <f t="shared" si="55"/>
        <v>0</v>
      </c>
      <c r="AH100" s="235"/>
      <c r="AI100" s="236"/>
      <c r="AL100" s="54"/>
      <c r="AM100" s="81"/>
      <c r="AN100" s="54"/>
      <c r="AO100" s="54"/>
      <c r="AP100" s="54"/>
      <c r="AQ100" s="54"/>
      <c r="AR100" s="54"/>
      <c r="AS100" s="61"/>
      <c r="AT100" s="61"/>
      <c r="AU100" s="61"/>
      <c r="AV100" s="54"/>
      <c r="AW100" s="54"/>
      <c r="AX100" s="54"/>
      <c r="AY100" s="54"/>
      <c r="AZ100" s="54"/>
      <c r="BA100" s="54"/>
      <c r="BB100" s="54"/>
    </row>
    <row r="101" spans="1:54" s="24" customFormat="1" ht="12.75" customHeight="1">
      <c r="A101" s="459"/>
      <c r="B101" s="459"/>
      <c r="C101" s="459"/>
      <c r="D101" s="459"/>
      <c r="E101" s="459"/>
      <c r="F101" s="459"/>
      <c r="G101" s="459"/>
      <c r="H101" s="479"/>
      <c r="I101" s="480"/>
      <c r="J101" s="480"/>
      <c r="K101" s="480"/>
      <c r="L101" s="481"/>
      <c r="M101" s="471"/>
      <c r="N101" s="471"/>
      <c r="O101" s="471"/>
      <c r="P101" s="471"/>
      <c r="Q101" s="358"/>
      <c r="R101" s="358"/>
      <c r="S101" s="358"/>
      <c r="T101" s="359"/>
      <c r="U101" s="487" t="str">
        <f t="shared" si="53"/>
        <v/>
      </c>
      <c r="V101" s="487"/>
      <c r="W101" s="487"/>
      <c r="X101" s="487"/>
      <c r="Y101" s="487"/>
      <c r="Z101" s="487"/>
      <c r="AA101" s="487"/>
      <c r="AB101" s="214"/>
      <c r="AC101" s="212" t="str">
        <f t="shared" si="54"/>
        <v/>
      </c>
      <c r="AD101" s="212"/>
      <c r="AE101" s="287">
        <f t="shared" si="55"/>
        <v>0</v>
      </c>
      <c r="AH101" s="235"/>
      <c r="AI101" s="236"/>
      <c r="AL101" s="54"/>
      <c r="AM101" s="81"/>
      <c r="AN101" s="54"/>
      <c r="AO101" s="54"/>
      <c r="AP101" s="54"/>
      <c r="AQ101" s="54"/>
      <c r="AR101" s="54"/>
      <c r="AS101" s="61"/>
      <c r="AT101" s="61"/>
      <c r="AU101" s="61"/>
      <c r="AV101" s="54"/>
      <c r="AW101" s="54"/>
      <c r="AX101" s="54"/>
      <c r="AY101" s="54"/>
      <c r="AZ101" s="54"/>
      <c r="BA101" s="54"/>
      <c r="BB101" s="54"/>
    </row>
    <row r="102" spans="1:54" s="24" customFormat="1" ht="12.75" customHeight="1">
      <c r="A102" s="459"/>
      <c r="B102" s="459"/>
      <c r="C102" s="459"/>
      <c r="D102" s="459"/>
      <c r="E102" s="459"/>
      <c r="F102" s="459"/>
      <c r="G102" s="459"/>
      <c r="H102" s="479"/>
      <c r="I102" s="480"/>
      <c r="J102" s="480"/>
      <c r="K102" s="480"/>
      <c r="L102" s="481"/>
      <c r="M102" s="471"/>
      <c r="N102" s="471"/>
      <c r="O102" s="471"/>
      <c r="P102" s="471"/>
      <c r="Q102" s="358"/>
      <c r="R102" s="358"/>
      <c r="S102" s="358"/>
      <c r="T102" s="359"/>
      <c r="U102" s="487" t="str">
        <f t="shared" si="53"/>
        <v/>
      </c>
      <c r="V102" s="487"/>
      <c r="W102" s="487"/>
      <c r="X102" s="487"/>
      <c r="Y102" s="487"/>
      <c r="Z102" s="487"/>
      <c r="AA102" s="487"/>
      <c r="AB102" s="214"/>
      <c r="AC102" s="212" t="str">
        <f t="shared" si="54"/>
        <v/>
      </c>
      <c r="AD102" s="212"/>
      <c r="AE102" s="287">
        <f t="shared" si="55"/>
        <v>0</v>
      </c>
      <c r="AH102" s="235"/>
      <c r="AI102" s="236"/>
      <c r="AL102" s="54"/>
      <c r="AM102" s="81"/>
      <c r="AN102" s="54"/>
      <c r="AO102" s="54"/>
      <c r="AP102" s="54"/>
      <c r="AQ102" s="54"/>
      <c r="AR102" s="54"/>
      <c r="AS102" s="61"/>
      <c r="AT102" s="61"/>
      <c r="AU102" s="61"/>
      <c r="AV102" s="54"/>
      <c r="AW102" s="54"/>
      <c r="AX102" s="54"/>
      <c r="AY102" s="54"/>
      <c r="AZ102" s="54"/>
      <c r="BA102" s="54"/>
      <c r="BB102" s="54"/>
    </row>
    <row r="103" spans="1:54" s="24" customFormat="1" ht="12.75" customHeight="1">
      <c r="A103" s="459"/>
      <c r="B103" s="459"/>
      <c r="C103" s="459"/>
      <c r="D103" s="459"/>
      <c r="E103" s="459"/>
      <c r="F103" s="459"/>
      <c r="G103" s="459"/>
      <c r="H103" s="479"/>
      <c r="I103" s="480"/>
      <c r="J103" s="480"/>
      <c r="K103" s="480"/>
      <c r="L103" s="481"/>
      <c r="M103" s="471"/>
      <c r="N103" s="471"/>
      <c r="O103" s="471"/>
      <c r="P103" s="471"/>
      <c r="Q103" s="358"/>
      <c r="R103" s="358"/>
      <c r="S103" s="358"/>
      <c r="T103" s="359"/>
      <c r="U103" s="487" t="str">
        <f t="shared" si="53"/>
        <v/>
      </c>
      <c r="V103" s="487"/>
      <c r="W103" s="487"/>
      <c r="X103" s="487"/>
      <c r="Y103" s="487"/>
      <c r="Z103" s="487"/>
      <c r="AA103" s="487"/>
      <c r="AB103" s="214"/>
      <c r="AC103" s="212" t="str">
        <f t="shared" si="54"/>
        <v/>
      </c>
      <c r="AD103" s="212"/>
      <c r="AE103" s="287">
        <f t="shared" si="55"/>
        <v>0</v>
      </c>
      <c r="AH103" s="235"/>
      <c r="AI103" s="236"/>
      <c r="AL103" s="54"/>
      <c r="AM103" s="81"/>
      <c r="AN103" s="54"/>
      <c r="AO103" s="54"/>
      <c r="AP103" s="54"/>
      <c r="AQ103" s="54"/>
      <c r="AR103" s="54"/>
      <c r="AS103" s="61"/>
      <c r="AT103" s="61"/>
      <c r="AU103" s="61"/>
      <c r="AV103" s="54"/>
      <c r="AW103" s="54"/>
      <c r="AX103" s="54"/>
      <c r="AY103" s="54"/>
      <c r="AZ103" s="54"/>
      <c r="BA103" s="54"/>
      <c r="BB103" s="54"/>
    </row>
    <row r="104" spans="1:54" s="24" customFormat="1" ht="12.75" customHeight="1">
      <c r="A104" s="459"/>
      <c r="B104" s="459"/>
      <c r="C104" s="459"/>
      <c r="D104" s="459"/>
      <c r="E104" s="459"/>
      <c r="F104" s="459"/>
      <c r="G104" s="459"/>
      <c r="H104" s="479"/>
      <c r="I104" s="480"/>
      <c r="J104" s="480"/>
      <c r="K104" s="480"/>
      <c r="L104" s="481"/>
      <c r="M104" s="471"/>
      <c r="N104" s="471"/>
      <c r="O104" s="471"/>
      <c r="P104" s="471"/>
      <c r="Q104" s="358"/>
      <c r="R104" s="358"/>
      <c r="S104" s="358"/>
      <c r="T104" s="359"/>
      <c r="U104" s="487" t="str">
        <f t="shared" si="53"/>
        <v/>
      </c>
      <c r="V104" s="487"/>
      <c r="W104" s="487"/>
      <c r="X104" s="487"/>
      <c r="Y104" s="487"/>
      <c r="Z104" s="487"/>
      <c r="AA104" s="487"/>
      <c r="AB104" s="214"/>
      <c r="AC104" s="212" t="str">
        <f t="shared" si="54"/>
        <v/>
      </c>
      <c r="AD104" s="212"/>
      <c r="AE104" s="287">
        <f t="shared" si="55"/>
        <v>0</v>
      </c>
      <c r="AH104" s="235"/>
      <c r="AI104" s="236"/>
      <c r="AL104" s="54"/>
      <c r="AM104" s="81"/>
      <c r="AN104" s="54"/>
      <c r="AO104" s="54"/>
      <c r="AP104" s="54"/>
      <c r="AQ104" s="54"/>
      <c r="AR104" s="54"/>
      <c r="AS104" s="61"/>
      <c r="AT104" s="61"/>
      <c r="AU104" s="61"/>
      <c r="AV104" s="54"/>
      <c r="AW104" s="54"/>
      <c r="AX104" s="54"/>
      <c r="AY104" s="54"/>
      <c r="AZ104" s="54"/>
      <c r="BA104" s="54"/>
      <c r="BB104" s="54"/>
    </row>
    <row r="105" spans="1:54" s="24" customFormat="1" ht="12.75" customHeight="1">
      <c r="A105" s="459"/>
      <c r="B105" s="459"/>
      <c r="C105" s="459"/>
      <c r="D105" s="459"/>
      <c r="E105" s="459"/>
      <c r="F105" s="459"/>
      <c r="G105" s="459"/>
      <c r="H105" s="479"/>
      <c r="I105" s="480"/>
      <c r="J105" s="480"/>
      <c r="K105" s="480"/>
      <c r="L105" s="481"/>
      <c r="M105" s="471"/>
      <c r="N105" s="471"/>
      <c r="O105" s="471"/>
      <c r="P105" s="471"/>
      <c r="Q105" s="358"/>
      <c r="R105" s="358"/>
      <c r="S105" s="358"/>
      <c r="T105" s="359"/>
      <c r="U105" s="487" t="str">
        <f t="shared" si="53"/>
        <v/>
      </c>
      <c r="V105" s="487"/>
      <c r="W105" s="487"/>
      <c r="X105" s="487"/>
      <c r="Y105" s="487"/>
      <c r="Z105" s="487"/>
      <c r="AA105" s="487"/>
      <c r="AB105" s="214"/>
      <c r="AC105" s="212" t="str">
        <f t="shared" si="54"/>
        <v/>
      </c>
      <c r="AD105" s="212"/>
      <c r="AE105" s="287">
        <f t="shared" si="55"/>
        <v>0</v>
      </c>
      <c r="AH105" s="235"/>
      <c r="AI105" s="236"/>
      <c r="AL105" s="54"/>
      <c r="AM105" s="81"/>
      <c r="AN105" s="54"/>
      <c r="AO105" s="54"/>
      <c r="AP105" s="54"/>
      <c r="AQ105" s="54"/>
      <c r="AR105" s="54"/>
      <c r="AS105" s="61"/>
      <c r="AT105" s="61"/>
      <c r="AU105" s="61"/>
      <c r="AV105" s="54"/>
      <c r="AW105" s="54"/>
      <c r="AX105" s="54"/>
      <c r="AY105" s="54"/>
      <c r="AZ105" s="54"/>
      <c r="BA105" s="54"/>
      <c r="BB105" s="54"/>
    </row>
    <row r="106" spans="1:54" s="24" customFormat="1" ht="12.75" customHeight="1">
      <c r="A106" s="459"/>
      <c r="B106" s="459"/>
      <c r="C106" s="459"/>
      <c r="D106" s="459"/>
      <c r="E106" s="459"/>
      <c r="F106" s="459"/>
      <c r="G106" s="459"/>
      <c r="H106" s="479"/>
      <c r="I106" s="480"/>
      <c r="J106" s="480"/>
      <c r="K106" s="480"/>
      <c r="L106" s="481"/>
      <c r="M106" s="471"/>
      <c r="N106" s="471"/>
      <c r="O106" s="471"/>
      <c r="P106" s="471"/>
      <c r="Q106" s="358"/>
      <c r="R106" s="358"/>
      <c r="S106" s="358"/>
      <c r="T106" s="359"/>
      <c r="U106" s="495" t="str">
        <f t="shared" si="53"/>
        <v/>
      </c>
      <c r="V106" s="495"/>
      <c r="W106" s="495"/>
      <c r="X106" s="495"/>
      <c r="Y106" s="495"/>
      <c r="Z106" s="495"/>
      <c r="AA106" s="495"/>
      <c r="AB106" s="214"/>
      <c r="AC106" s="212" t="str">
        <f t="shared" si="54"/>
        <v/>
      </c>
      <c r="AD106" s="212"/>
      <c r="AE106" s="287">
        <f t="shared" si="55"/>
        <v>0</v>
      </c>
      <c r="AH106" s="235"/>
      <c r="AI106" s="236"/>
      <c r="AL106" s="54"/>
      <c r="AM106" s="81"/>
      <c r="AN106" s="54"/>
      <c r="AO106" s="54"/>
      <c r="AP106" s="54"/>
      <c r="AQ106" s="54"/>
      <c r="AR106" s="54"/>
      <c r="AS106" s="61"/>
      <c r="AT106" s="61"/>
      <c r="AU106" s="61"/>
      <c r="AV106" s="54"/>
      <c r="AW106" s="54"/>
      <c r="AX106" s="54"/>
      <c r="AY106" s="54"/>
      <c r="AZ106" s="54"/>
      <c r="BA106" s="54"/>
      <c r="BB106" s="54"/>
    </row>
    <row r="107" spans="1:54" s="24" customFormat="1" ht="15" customHeight="1">
      <c r="A107" s="29"/>
      <c r="B107" s="29"/>
      <c r="C107" s="29"/>
      <c r="D107" s="29"/>
      <c r="E107" s="29"/>
      <c r="F107" s="29"/>
      <c r="G107" s="29"/>
      <c r="H107" s="30"/>
      <c r="I107" s="30"/>
      <c r="J107" s="30"/>
      <c r="K107" s="30"/>
      <c r="L107" s="124"/>
      <c r="M107" s="124"/>
      <c r="N107" s="124"/>
      <c r="O107" s="192"/>
      <c r="P107" s="192"/>
      <c r="Q107" s="192"/>
      <c r="R107" s="192"/>
      <c r="S107" s="192"/>
      <c r="T107" s="192"/>
      <c r="U107" s="192"/>
      <c r="V107" s="192"/>
      <c r="W107" s="192"/>
      <c r="X107" s="192"/>
      <c r="Y107" s="192"/>
      <c r="Z107" s="192"/>
      <c r="AA107" s="38" t="s">
        <v>202</v>
      </c>
      <c r="AB107" s="71"/>
      <c r="AC107" s="79"/>
      <c r="AI107" s="122"/>
      <c r="AJ107" s="61"/>
      <c r="AK107" s="61"/>
      <c r="AL107" s="54"/>
      <c r="AM107" s="81"/>
      <c r="AN107" s="54"/>
      <c r="AO107" s="54"/>
      <c r="AP107" s="54"/>
      <c r="AQ107" s="54"/>
      <c r="AR107" s="54"/>
      <c r="AS107" s="61"/>
      <c r="AT107" s="61"/>
      <c r="AU107" s="61"/>
      <c r="AV107" s="54"/>
      <c r="AW107" s="54"/>
      <c r="AX107" s="54"/>
      <c r="AY107" s="54"/>
      <c r="AZ107" s="54"/>
      <c r="BA107" s="54"/>
      <c r="BB107" s="54"/>
    </row>
    <row r="108" spans="1:54" s="24" customFormat="1" ht="6.75" customHeight="1">
      <c r="A108" s="29"/>
      <c r="B108" s="29"/>
      <c r="C108" s="29"/>
      <c r="D108" s="29"/>
      <c r="E108" s="29"/>
      <c r="F108" s="29"/>
      <c r="G108" s="29"/>
      <c r="H108" s="30"/>
      <c r="I108" s="30"/>
      <c r="J108" s="30"/>
      <c r="K108" s="30"/>
      <c r="L108" s="124"/>
      <c r="M108" s="124"/>
      <c r="N108" s="124"/>
      <c r="O108" s="192"/>
      <c r="P108" s="192"/>
      <c r="Q108" s="192"/>
      <c r="R108" s="192"/>
      <c r="S108" s="192"/>
      <c r="T108" s="192"/>
      <c r="U108" s="192"/>
      <c r="V108" s="192"/>
      <c r="W108" s="192"/>
      <c r="X108" s="192"/>
      <c r="Y108" s="192"/>
      <c r="Z108" s="192"/>
      <c r="AA108" s="192"/>
      <c r="AB108" s="71"/>
      <c r="AC108" s="79"/>
      <c r="AD108" s="171"/>
      <c r="AI108" s="122"/>
      <c r="AJ108" s="61"/>
      <c r="AK108" s="61"/>
      <c r="AL108" s="54"/>
      <c r="AM108" s="81"/>
      <c r="AN108" s="54"/>
      <c r="AO108" s="54"/>
      <c r="AP108" s="54"/>
      <c r="AQ108" s="54"/>
      <c r="AR108" s="54"/>
      <c r="AS108" s="61"/>
      <c r="AT108" s="61"/>
      <c r="AU108" s="61"/>
      <c r="AV108" s="54"/>
      <c r="AW108" s="54"/>
      <c r="AX108" s="54"/>
      <c r="AY108" s="54"/>
      <c r="AZ108" s="54"/>
      <c r="BA108" s="54"/>
      <c r="BB108" s="54"/>
    </row>
    <row r="109" spans="1:54" s="24" customFormat="1" ht="21.75" customHeight="1" thickBot="1">
      <c r="A109" s="497" t="s">
        <v>240</v>
      </c>
      <c r="B109" s="497"/>
      <c r="C109" s="497"/>
      <c r="D109" s="497"/>
      <c r="E109" s="497"/>
      <c r="F109" s="497"/>
      <c r="G109" s="497"/>
      <c r="H109" s="498"/>
      <c r="I109" s="498"/>
      <c r="J109" s="498"/>
      <c r="K109" s="498"/>
      <c r="L109" s="498"/>
      <c r="M109" s="498"/>
      <c r="N109" s="498"/>
      <c r="O109" s="498"/>
      <c r="P109" s="498"/>
      <c r="Q109" s="498"/>
      <c r="R109" s="498"/>
      <c r="S109" s="6"/>
      <c r="T109" s="6"/>
      <c r="U109" s="2"/>
      <c r="V109" s="7"/>
      <c r="W109" s="12"/>
      <c r="X109" s="7"/>
      <c r="Y109" s="12"/>
      <c r="Z109" s="12"/>
      <c r="AA109" s="123"/>
      <c r="AB109" s="71"/>
      <c r="AC109" s="57"/>
      <c r="AE109" s="61"/>
      <c r="AF109" s="61"/>
      <c r="AG109" s="61"/>
      <c r="AH109" s="61"/>
      <c r="AI109" s="61"/>
      <c r="AJ109" s="61"/>
      <c r="AK109" s="61"/>
      <c r="AL109" s="61"/>
      <c r="AM109" s="82"/>
      <c r="AN109" s="82"/>
      <c r="AO109" s="82"/>
      <c r="AP109" s="54"/>
      <c r="AQ109" s="54"/>
      <c r="AR109" s="54"/>
      <c r="AS109" s="54"/>
      <c r="AT109" s="54"/>
      <c r="AU109" s="54"/>
      <c r="AV109" s="54"/>
      <c r="AW109" s="54"/>
      <c r="AX109" s="54"/>
      <c r="AY109" s="54"/>
      <c r="AZ109" s="54"/>
      <c r="BA109" s="54"/>
      <c r="BB109" s="54"/>
    </row>
    <row r="110" spans="1:54" s="24" customFormat="1" ht="17.25" customHeight="1" thickBot="1">
      <c r="A110" s="499"/>
      <c r="B110" s="499"/>
      <c r="C110" s="499"/>
      <c r="D110" s="499"/>
      <c r="E110" s="499"/>
      <c r="F110" s="499"/>
      <c r="G110" s="499"/>
      <c r="H110" s="498"/>
      <c r="I110" s="498"/>
      <c r="J110" s="498"/>
      <c r="K110" s="498"/>
      <c r="L110" s="498"/>
      <c r="M110" s="498"/>
      <c r="N110" s="498"/>
      <c r="O110" s="498"/>
      <c r="P110" s="498"/>
      <c r="Q110" s="498"/>
      <c r="R110" s="498"/>
      <c r="S110" s="6"/>
      <c r="T110" s="6"/>
      <c r="U110" s="6"/>
      <c r="V110" s="144"/>
      <c r="W110" s="36" t="s">
        <v>241</v>
      </c>
      <c r="X110" s="470">
        <f ca="1">SUM(Y51:Y68)+SUM(W73:W80)+SUM(U84:U93)+SUM(U97:U106)</f>
        <v>0</v>
      </c>
      <c r="Y110" s="470"/>
      <c r="Z110" s="470"/>
      <c r="AA110" s="470"/>
      <c r="AB110" s="71"/>
      <c r="AC110" s="57"/>
      <c r="AD110" s="57"/>
      <c r="AE110" s="83"/>
      <c r="AF110" s="54"/>
      <c r="AG110" s="54"/>
      <c r="AH110" s="54"/>
      <c r="AI110" s="54"/>
      <c r="AJ110" s="54"/>
      <c r="AK110" s="82"/>
      <c r="AL110" s="82"/>
      <c r="AM110" s="82"/>
      <c r="AN110" s="82"/>
      <c r="AO110" s="82"/>
      <c r="AP110" s="54"/>
      <c r="AQ110" s="54"/>
      <c r="AR110" s="54"/>
      <c r="AS110" s="54"/>
      <c r="AT110" s="54"/>
      <c r="AU110" s="54"/>
      <c r="AV110" s="54"/>
      <c r="AW110" s="54"/>
      <c r="AX110" s="284" t="s">
        <v>242</v>
      </c>
      <c r="AY110" s="284" t="s">
        <v>243</v>
      </c>
      <c r="AZ110" s="284"/>
      <c r="BA110" s="284" t="s">
        <v>244</v>
      </c>
      <c r="BB110" s="284" t="s">
        <v>245</v>
      </c>
    </row>
    <row r="111" spans="1:54" s="24" customFormat="1" ht="11.25" customHeight="1">
      <c r="A111" s="35"/>
      <c r="B111" s="35"/>
      <c r="C111" s="35"/>
      <c r="D111" s="35"/>
      <c r="E111" s="35"/>
      <c r="F111" s="35"/>
      <c r="G111" s="35"/>
      <c r="H111" s="189"/>
      <c r="I111" s="189"/>
      <c r="J111" s="189"/>
      <c r="K111" s="189"/>
      <c r="L111" s="189"/>
      <c r="M111" s="189"/>
      <c r="N111" s="189"/>
      <c r="O111" s="189"/>
      <c r="P111" s="189"/>
      <c r="Q111" s="189"/>
      <c r="R111" s="189"/>
      <c r="S111" s="6"/>
      <c r="T111" s="6"/>
      <c r="U111" s="6"/>
      <c r="V111" s="36"/>
      <c r="W111" s="37"/>
      <c r="X111" s="328"/>
      <c r="Y111" s="328"/>
      <c r="Z111" s="328"/>
      <c r="AA111" s="13" t="s">
        <v>246</v>
      </c>
      <c r="AB111" s="71"/>
      <c r="AC111" s="57"/>
      <c r="AD111" s="57"/>
      <c r="AE111" s="83"/>
      <c r="AF111" s="54"/>
      <c r="AG111" s="54"/>
      <c r="AH111" s="54"/>
      <c r="AI111" s="54"/>
      <c r="AJ111" s="54"/>
      <c r="AK111" s="82"/>
      <c r="AL111" s="82"/>
      <c r="AM111" s="82"/>
      <c r="AN111" s="82"/>
      <c r="AO111" s="82"/>
      <c r="AP111" s="54"/>
      <c r="AQ111" s="54"/>
      <c r="AR111" s="54"/>
      <c r="AS111" s="54"/>
      <c r="AT111" s="54"/>
      <c r="AU111" s="54"/>
      <c r="AV111" s="54"/>
      <c r="AW111" s="54"/>
      <c r="AX111" s="284" t="s">
        <v>193</v>
      </c>
      <c r="AY111" s="284" t="s">
        <v>234</v>
      </c>
      <c r="AZ111" s="284"/>
      <c r="BA111" s="284" t="s">
        <v>193</v>
      </c>
      <c r="BB111" s="285" t="s">
        <v>193</v>
      </c>
    </row>
    <row r="112" spans="1:54" s="24" customFormat="1" ht="12" customHeight="1">
      <c r="A112" s="35"/>
      <c r="B112" s="35"/>
      <c r="C112" s="35"/>
      <c r="D112" s="35"/>
      <c r="E112" s="35"/>
      <c r="F112" s="35"/>
      <c r="G112" s="35"/>
      <c r="H112" s="189"/>
      <c r="I112" s="189"/>
      <c r="J112" s="189"/>
      <c r="K112" s="189"/>
      <c r="L112" s="189"/>
      <c r="M112" s="189"/>
      <c r="N112" s="189"/>
      <c r="O112" s="189"/>
      <c r="P112" s="189"/>
      <c r="Q112" s="189"/>
      <c r="R112" s="189"/>
      <c r="S112" s="6"/>
      <c r="T112" s="6"/>
      <c r="U112" s="6"/>
      <c r="V112" s="36"/>
      <c r="W112" s="37"/>
      <c r="X112" s="328"/>
      <c r="Y112" s="328"/>
      <c r="Z112" s="328"/>
      <c r="AA112" s="13" t="s">
        <v>247</v>
      </c>
      <c r="AB112" s="71"/>
      <c r="AC112" s="57"/>
      <c r="AD112" s="57"/>
      <c r="AE112" s="83"/>
      <c r="AF112" s="54"/>
      <c r="AG112" s="54"/>
      <c r="AH112" s="54"/>
      <c r="AI112" s="54"/>
      <c r="AJ112" s="54"/>
      <c r="AK112" s="82"/>
      <c r="AL112" s="82"/>
      <c r="AM112" s="82"/>
      <c r="AN112" s="82"/>
      <c r="AO112" s="82"/>
      <c r="AP112" s="54"/>
      <c r="AQ112" s="54"/>
      <c r="AR112" s="54"/>
      <c r="AS112" s="54"/>
      <c r="AT112" s="54"/>
      <c r="AU112" s="54"/>
      <c r="AV112" s="54"/>
      <c r="AW112" s="54"/>
      <c r="AX112" s="284" t="s">
        <v>28</v>
      </c>
      <c r="AY112" s="284" t="s">
        <v>235</v>
      </c>
      <c r="AZ112" s="284"/>
      <c r="BA112" s="284" t="s">
        <v>28</v>
      </c>
      <c r="BB112" s="285" t="s">
        <v>204</v>
      </c>
    </row>
    <row r="113" spans="1:54" s="24" customFormat="1" ht="18.75" customHeight="1">
      <c r="A113" s="116" t="s">
        <v>248</v>
      </c>
      <c r="B113" s="37"/>
      <c r="C113" s="45"/>
      <c r="D113" s="5"/>
      <c r="E113" s="5"/>
      <c r="F113" s="6"/>
      <c r="G113" s="6"/>
      <c r="H113" s="6"/>
      <c r="I113" s="8"/>
      <c r="J113" s="8"/>
      <c r="K113" s="8"/>
      <c r="L113" s="6"/>
      <c r="M113" s="6"/>
      <c r="N113" s="6"/>
      <c r="O113" s="6"/>
      <c r="P113" s="6"/>
      <c r="Q113" s="6"/>
      <c r="R113" s="6"/>
      <c r="S113" s="6"/>
      <c r="T113" s="6"/>
      <c r="U113" s="6"/>
      <c r="V113" s="7"/>
      <c r="W113" s="12"/>
      <c r="X113" s="6"/>
      <c r="Y113" s="329"/>
      <c r="Z113" s="329"/>
      <c r="AA113" s="37"/>
      <c r="AB113" s="71"/>
      <c r="AC113" s="57"/>
      <c r="AD113" s="84"/>
      <c r="AE113" s="83"/>
      <c r="AF113" s="54"/>
      <c r="AG113" s="54"/>
      <c r="AH113" s="54"/>
      <c r="AI113" s="54"/>
      <c r="AJ113" s="54"/>
      <c r="AK113" s="82"/>
      <c r="AL113" s="82"/>
      <c r="AM113" s="82"/>
      <c r="AN113" s="82"/>
      <c r="AO113" s="82"/>
      <c r="AP113" s="54"/>
      <c r="AQ113" s="54"/>
      <c r="AR113" s="54"/>
      <c r="AS113" s="54"/>
      <c r="AT113" s="54"/>
      <c r="AU113" s="54"/>
      <c r="AV113" s="54"/>
      <c r="AW113" s="54"/>
      <c r="AX113" s="284" t="s">
        <v>29</v>
      </c>
      <c r="AY113" s="284" t="s">
        <v>28</v>
      </c>
      <c r="AZ113" s="284"/>
      <c r="BA113" s="284" t="s">
        <v>249</v>
      </c>
      <c r="BB113" s="285"/>
    </row>
    <row r="114" spans="1:54" s="24" customFormat="1" ht="12.75" customHeight="1">
      <c r="A114" s="4" t="s">
        <v>250</v>
      </c>
      <c r="B114" s="37"/>
      <c r="C114" s="5"/>
      <c r="D114" s="5"/>
      <c r="E114" s="6"/>
      <c r="F114" s="7"/>
      <c r="G114" s="7"/>
      <c r="H114" s="7"/>
      <c r="I114" s="7"/>
      <c r="J114" s="7"/>
      <c r="K114" s="7"/>
      <c r="L114" s="7"/>
      <c r="M114" s="7"/>
      <c r="N114" s="7"/>
      <c r="O114" s="7"/>
      <c r="P114" s="7"/>
      <c r="Q114" s="7"/>
      <c r="R114" s="7"/>
      <c r="S114" s="7"/>
      <c r="T114" s="7"/>
      <c r="U114" s="7"/>
      <c r="V114" s="12"/>
      <c r="W114" s="12"/>
      <c r="X114" s="7"/>
      <c r="Y114" s="3"/>
      <c r="Z114" s="3"/>
      <c r="AA114" s="37"/>
      <c r="AB114" s="71"/>
      <c r="AC114" s="57"/>
      <c r="AD114" s="57"/>
      <c r="AE114" s="83"/>
      <c r="AF114" s="54"/>
      <c r="AG114" s="54"/>
      <c r="AH114" s="54"/>
      <c r="AI114" s="54"/>
      <c r="AJ114" s="54"/>
      <c r="AK114" s="82"/>
      <c r="AL114" s="82"/>
      <c r="AM114" s="82"/>
      <c r="AN114" s="82"/>
      <c r="AO114" s="82"/>
      <c r="AP114" s="54"/>
      <c r="AQ114" s="54"/>
      <c r="AR114" s="54"/>
      <c r="AS114" s="54"/>
      <c r="AT114" s="54"/>
      <c r="AU114" s="54"/>
      <c r="AV114" s="54"/>
      <c r="AW114" s="54"/>
      <c r="AX114" s="284" t="s">
        <v>30</v>
      </c>
      <c r="AY114" s="284" t="s">
        <v>236</v>
      </c>
      <c r="AZ114" s="284"/>
      <c r="BA114" s="284"/>
      <c r="BB114" s="285"/>
    </row>
    <row r="115" spans="1:54" s="24" customFormat="1" ht="12.75" customHeight="1">
      <c r="A115" s="4" t="s">
        <v>251</v>
      </c>
      <c r="B115" s="5"/>
      <c r="C115" s="5"/>
      <c r="D115" s="5"/>
      <c r="E115" s="37"/>
      <c r="F115" s="37"/>
      <c r="G115" s="37"/>
      <c r="H115" s="37"/>
      <c r="I115" s="37"/>
      <c r="J115" s="37"/>
      <c r="K115" s="37"/>
      <c r="L115" s="37"/>
      <c r="M115" s="37"/>
      <c r="N115" s="37"/>
      <c r="O115" s="37"/>
      <c r="P115" s="37"/>
      <c r="Q115" s="37"/>
      <c r="R115" s="37"/>
      <c r="S115" s="37"/>
      <c r="T115" s="37"/>
      <c r="U115" s="37"/>
      <c r="V115" s="37"/>
      <c r="W115" s="37"/>
      <c r="X115" s="8"/>
      <c r="Y115" s="9"/>
      <c r="Z115" s="9"/>
      <c r="AA115" s="10"/>
      <c r="AB115" s="71"/>
      <c r="AC115" s="57"/>
      <c r="AD115" s="57"/>
      <c r="AE115" s="83"/>
      <c r="AF115" s="54"/>
      <c r="AG115" s="54"/>
      <c r="AH115" s="54"/>
      <c r="AI115" s="54"/>
      <c r="AJ115" s="54"/>
      <c r="AK115" s="82"/>
      <c r="AL115" s="82"/>
      <c r="AM115" s="82"/>
      <c r="AN115" s="82"/>
      <c r="AO115" s="82"/>
      <c r="AP115" s="54"/>
      <c r="AQ115" s="54"/>
      <c r="AR115" s="54"/>
      <c r="AS115" s="54"/>
      <c r="AT115" s="54"/>
      <c r="AU115" s="54"/>
      <c r="AV115" s="54"/>
      <c r="AW115" s="54"/>
      <c r="AX115" s="284" t="s">
        <v>252</v>
      </c>
      <c r="AY115" s="284" t="s">
        <v>252</v>
      </c>
      <c r="AZ115" s="284"/>
      <c r="BA115" s="284"/>
      <c r="BB115" s="285"/>
    </row>
    <row r="116" spans="1:54" s="24" customFormat="1" ht="12" customHeight="1">
      <c r="A116" s="4" t="s">
        <v>253</v>
      </c>
      <c r="B116" s="5"/>
      <c r="C116" s="5"/>
      <c r="D116" s="5"/>
      <c r="E116" s="37"/>
      <c r="F116" s="11"/>
      <c r="G116" s="11"/>
      <c r="H116" s="11"/>
      <c r="I116" s="11"/>
      <c r="J116" s="11"/>
      <c r="K116" s="11"/>
      <c r="L116" s="11"/>
      <c r="M116" s="11"/>
      <c r="N116" s="11"/>
      <c r="O116" s="11"/>
      <c r="P116" s="11"/>
      <c r="Q116" s="11"/>
      <c r="R116" s="11"/>
      <c r="S116" s="11"/>
      <c r="T116" s="11"/>
      <c r="U116" s="11"/>
      <c r="V116" s="11"/>
      <c r="W116" s="190"/>
      <c r="X116" s="493"/>
      <c r="Y116" s="493"/>
      <c r="Z116" s="190"/>
      <c r="AA116" s="190"/>
      <c r="AB116" s="71"/>
      <c r="AC116" s="57"/>
      <c r="AD116" s="57"/>
      <c r="AE116" s="83"/>
      <c r="AF116" s="54"/>
      <c r="AG116" s="54"/>
      <c r="AH116" s="54"/>
      <c r="AI116" s="54"/>
      <c r="AJ116" s="54"/>
      <c r="AK116" s="82"/>
      <c r="AL116" s="82"/>
      <c r="AM116" s="82"/>
      <c r="AN116" s="82"/>
      <c r="AO116" s="82"/>
      <c r="AP116" s="54"/>
      <c r="AQ116" s="54"/>
      <c r="AR116" s="54"/>
      <c r="AS116" s="54"/>
      <c r="AT116" s="54"/>
      <c r="AU116" s="54"/>
      <c r="AV116" s="54"/>
      <c r="AW116" s="54"/>
      <c r="AX116" s="284"/>
      <c r="AY116" s="284"/>
      <c r="AZ116" s="284"/>
      <c r="BA116" s="284"/>
      <c r="BB116" s="285"/>
    </row>
    <row r="117" spans="1:54" s="24" customFormat="1" ht="13">
      <c r="A117" s="4"/>
      <c r="B117" s="5"/>
      <c r="C117" s="5"/>
      <c r="D117" s="5"/>
      <c r="E117" s="37"/>
      <c r="F117" s="11"/>
      <c r="G117" s="11"/>
      <c r="H117" s="11"/>
      <c r="I117" s="11"/>
      <c r="J117" s="11"/>
      <c r="K117" s="11"/>
      <c r="L117" s="11"/>
      <c r="M117" s="11"/>
      <c r="N117" s="11"/>
      <c r="O117" s="11"/>
      <c r="P117" s="11"/>
      <c r="Q117" s="11"/>
      <c r="R117" s="11"/>
      <c r="S117" s="11"/>
      <c r="T117" s="11"/>
      <c r="U117" s="11"/>
      <c r="V117" s="11"/>
      <c r="W117" s="190"/>
      <c r="X117" s="190"/>
      <c r="Y117" s="190"/>
      <c r="Z117" s="190"/>
      <c r="AA117" s="190"/>
      <c r="AB117" s="71"/>
      <c r="AC117" s="57"/>
      <c r="AD117" s="57"/>
      <c r="AE117" s="83"/>
      <c r="AF117" s="54"/>
      <c r="AG117" s="54"/>
      <c r="AH117" s="54"/>
      <c r="AI117" s="54"/>
      <c r="AJ117" s="54"/>
      <c r="AK117" s="82"/>
      <c r="AL117" s="82"/>
      <c r="AM117" s="82"/>
      <c r="AN117" s="82"/>
      <c r="AO117" s="82"/>
      <c r="AP117" s="54"/>
      <c r="AQ117" s="54"/>
      <c r="AR117" s="54"/>
      <c r="AS117" s="54"/>
      <c r="AT117" s="54"/>
      <c r="AU117" s="54"/>
      <c r="AV117" s="54"/>
      <c r="AW117" s="54"/>
      <c r="AX117" s="54"/>
      <c r="AY117" s="54"/>
      <c r="AZ117" s="54"/>
      <c r="BA117" s="54"/>
      <c r="BB117" s="54"/>
    </row>
    <row r="118" spans="1:54" s="24" customFormat="1" ht="13.5" thickBot="1">
      <c r="A118" s="49"/>
      <c r="B118" s="46"/>
      <c r="C118" s="46"/>
      <c r="D118" s="46"/>
      <c r="E118" s="47"/>
      <c r="F118" s="48"/>
      <c r="G118" s="48"/>
      <c r="H118" s="11"/>
      <c r="I118" s="11"/>
      <c r="J118" s="11"/>
      <c r="K118" s="11"/>
      <c r="L118" s="11"/>
      <c r="M118" s="11"/>
      <c r="N118" s="11"/>
      <c r="O118" s="11"/>
      <c r="P118" s="11"/>
      <c r="Q118" s="11"/>
      <c r="R118" s="11"/>
      <c r="S118" s="11"/>
      <c r="T118" s="11"/>
      <c r="U118" s="11"/>
      <c r="V118" s="11"/>
      <c r="W118" s="190"/>
      <c r="X118" s="190"/>
      <c r="Y118" s="190"/>
      <c r="Z118" s="190"/>
      <c r="AA118" s="190"/>
      <c r="AB118" s="71"/>
      <c r="AC118" s="57"/>
      <c r="AD118" s="57"/>
      <c r="AE118" s="83"/>
      <c r="AF118" s="54"/>
      <c r="AG118" s="54"/>
      <c r="AH118" s="54"/>
      <c r="AI118" s="54"/>
      <c r="AJ118" s="54"/>
      <c r="AK118" s="82"/>
      <c r="AL118" s="82"/>
      <c r="AM118" s="82"/>
      <c r="AN118" s="82"/>
      <c r="AO118" s="82"/>
      <c r="AP118" s="54"/>
      <c r="AQ118" s="54"/>
      <c r="AR118" s="54"/>
      <c r="AS118" s="54"/>
      <c r="AT118" s="54"/>
      <c r="AU118" s="54"/>
      <c r="AV118" s="54"/>
      <c r="AW118" s="54"/>
      <c r="AX118" s="54"/>
      <c r="AY118" s="54"/>
      <c r="AZ118" s="54"/>
      <c r="BA118" s="54"/>
      <c r="BB118" s="54"/>
    </row>
    <row r="119" spans="1:54" s="24" customFormat="1" ht="21.75" customHeight="1" thickBot="1">
      <c r="A119" s="494" t="s">
        <v>254</v>
      </c>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71"/>
      <c r="AC119" s="57"/>
      <c r="AD119" s="57"/>
      <c r="AE119" s="83"/>
      <c r="AF119" s="54"/>
      <c r="AG119" s="54"/>
      <c r="AH119" s="54"/>
      <c r="AI119" s="54"/>
      <c r="AJ119" s="54"/>
      <c r="AK119" s="82"/>
      <c r="AL119" s="82"/>
      <c r="AM119" s="74"/>
      <c r="AN119" s="74"/>
      <c r="AO119" s="74"/>
      <c r="AP119" s="74"/>
      <c r="AQ119" s="74"/>
      <c r="AR119" s="74"/>
      <c r="AS119" s="74"/>
      <c r="AT119" s="74"/>
      <c r="AU119" s="74"/>
      <c r="AV119" s="74"/>
      <c r="AW119" s="54"/>
      <c r="AX119" s="54"/>
      <c r="AY119" s="54"/>
      <c r="AZ119" s="54"/>
      <c r="BA119" s="54"/>
      <c r="BB119" s="54"/>
    </row>
    <row r="120" spans="1:54" s="24" customFormat="1" ht="12" customHeight="1">
      <c r="A120" s="490" t="s">
        <v>255</v>
      </c>
      <c r="B120" s="490"/>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71"/>
      <c r="AC120" s="57"/>
      <c r="AD120" s="57"/>
      <c r="AE120" s="83"/>
      <c r="AF120" s="54"/>
      <c r="AG120" s="54"/>
      <c r="AH120" s="54"/>
      <c r="AI120" s="54"/>
      <c r="AJ120" s="54"/>
      <c r="AK120" s="82"/>
      <c r="AL120" s="82"/>
      <c r="AM120" s="74"/>
      <c r="AN120" s="74"/>
      <c r="AO120" s="74"/>
      <c r="AP120" s="74"/>
      <c r="AQ120" s="74"/>
      <c r="AR120" s="74"/>
      <c r="AS120" s="74"/>
      <c r="AT120" s="74"/>
      <c r="AU120" s="74"/>
      <c r="AV120" s="74"/>
      <c r="AW120" s="54"/>
      <c r="AX120" s="54"/>
      <c r="AY120" s="54"/>
      <c r="AZ120" s="54"/>
      <c r="BA120" s="54"/>
      <c r="BB120" s="54"/>
    </row>
    <row r="121" spans="1:54" s="24" customFormat="1" ht="7.5" customHeight="1">
      <c r="A121" s="191"/>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71"/>
      <c r="AC121" s="57"/>
      <c r="AD121" s="57"/>
      <c r="AE121" s="83"/>
      <c r="AF121" s="54"/>
      <c r="AG121" s="54"/>
      <c r="AH121" s="54"/>
      <c r="AI121" s="54"/>
      <c r="AJ121" s="54"/>
      <c r="AK121" s="82"/>
      <c r="AL121" s="82"/>
      <c r="AM121" s="74"/>
      <c r="AN121" s="74"/>
      <c r="AO121" s="74"/>
      <c r="AP121" s="74"/>
      <c r="AQ121" s="74"/>
      <c r="AR121" s="74"/>
      <c r="AS121" s="74"/>
      <c r="AT121" s="74"/>
      <c r="AU121" s="74"/>
      <c r="AV121" s="74"/>
      <c r="AW121" s="54"/>
      <c r="AX121" s="54"/>
      <c r="AY121" s="54"/>
      <c r="AZ121" s="54"/>
      <c r="BA121" s="54"/>
      <c r="BB121" s="54"/>
    </row>
    <row r="122" spans="1:54" s="24" customFormat="1" ht="92.25" customHeight="1">
      <c r="A122" s="491" t="s">
        <v>256</v>
      </c>
      <c r="B122" s="492"/>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71"/>
      <c r="AC122" s="57"/>
      <c r="AD122" s="57"/>
      <c r="AE122" s="83"/>
      <c r="AF122" s="54"/>
      <c r="AG122" s="54"/>
      <c r="AH122" s="54"/>
      <c r="AI122" s="54"/>
      <c r="AJ122" s="54"/>
      <c r="AK122" s="82"/>
      <c r="AL122" s="82"/>
      <c r="AM122" s="74"/>
      <c r="AN122" s="74"/>
      <c r="AO122" s="74"/>
      <c r="AP122" s="74"/>
      <c r="AQ122" s="74"/>
      <c r="AR122" s="74"/>
      <c r="AS122" s="74"/>
      <c r="AT122" s="74"/>
      <c r="AU122" s="74"/>
      <c r="AV122" s="74"/>
      <c r="AW122" s="54"/>
      <c r="AX122" s="54"/>
      <c r="AY122" s="54"/>
      <c r="AZ122" s="54"/>
      <c r="BA122" s="54"/>
      <c r="BB122" s="54"/>
    </row>
    <row r="123" spans="1:54" s="24" customFormat="1" ht="7.5" customHeight="1">
      <c r="A123" s="460"/>
      <c r="B123" s="460"/>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71"/>
      <c r="AC123" s="57"/>
      <c r="AD123" s="57"/>
      <c r="AE123" s="83"/>
      <c r="AF123" s="54"/>
      <c r="AG123" s="54"/>
      <c r="AH123" s="54"/>
      <c r="AI123" s="54"/>
      <c r="AJ123" s="54"/>
      <c r="AK123" s="82"/>
      <c r="AL123" s="82"/>
      <c r="AM123" s="52"/>
      <c r="AN123" s="52"/>
      <c r="AO123" s="52"/>
      <c r="AP123" s="57"/>
      <c r="AQ123" s="57"/>
      <c r="AR123" s="57"/>
      <c r="AS123" s="57"/>
      <c r="AT123" s="57"/>
      <c r="AU123" s="56"/>
      <c r="AV123" s="56"/>
      <c r="AW123" s="54"/>
      <c r="AX123" s="54"/>
      <c r="AY123" s="54"/>
      <c r="AZ123" s="54"/>
      <c r="BA123" s="54"/>
      <c r="BB123" s="54"/>
    </row>
    <row r="124" spans="1:54" s="24" customFormat="1" ht="66.75" customHeight="1">
      <c r="A124" s="485" t="s">
        <v>257</v>
      </c>
      <c r="B124" s="486"/>
      <c r="C124" s="486"/>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71"/>
      <c r="AC124" s="57"/>
      <c r="AD124" s="57"/>
      <c r="AE124" s="61"/>
      <c r="AF124" s="61"/>
      <c r="AG124" s="61"/>
      <c r="AH124" s="61"/>
      <c r="AI124" s="61"/>
      <c r="AJ124" s="61"/>
      <c r="AK124" s="61"/>
      <c r="AL124" s="61"/>
      <c r="AM124" s="61"/>
      <c r="AN124" s="61"/>
      <c r="AO124" s="61"/>
      <c r="AP124" s="61"/>
      <c r="AQ124" s="61"/>
      <c r="AR124" s="61"/>
      <c r="AS124" s="61"/>
      <c r="AT124" s="85"/>
      <c r="AU124" s="86"/>
      <c r="AV124" s="86"/>
      <c r="AW124" s="70"/>
      <c r="AX124" s="70"/>
      <c r="AY124" s="70"/>
      <c r="AZ124" s="70"/>
      <c r="BA124" s="70"/>
      <c r="BB124" s="70"/>
    </row>
    <row r="125" spans="1:54" s="24" customFormat="1" ht="7.5" customHeight="1">
      <c r="A125" s="460"/>
      <c r="B125" s="460"/>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71"/>
      <c r="AC125" s="57"/>
      <c r="AD125" s="57"/>
      <c r="AE125" s="61"/>
      <c r="AF125" s="61"/>
      <c r="AG125" s="61"/>
      <c r="AH125" s="61"/>
      <c r="AI125" s="61"/>
      <c r="AJ125" s="61"/>
      <c r="AK125" s="61"/>
      <c r="AL125" s="61"/>
      <c r="AM125" s="61"/>
      <c r="AN125" s="61"/>
      <c r="AO125" s="61"/>
      <c r="AP125" s="61"/>
      <c r="AQ125" s="61"/>
      <c r="AR125" s="61"/>
      <c r="AS125" s="61"/>
      <c r="AT125" s="85"/>
      <c r="AU125" s="86"/>
      <c r="AV125" s="86"/>
      <c r="AW125" s="70"/>
      <c r="AX125" s="70"/>
      <c r="AY125" s="70"/>
      <c r="AZ125" s="70"/>
      <c r="BA125" s="70"/>
      <c r="BB125" s="70"/>
    </row>
    <row r="126" spans="1:54" s="24" customFormat="1" ht="51" customHeight="1">
      <c r="A126" s="461" t="s">
        <v>258</v>
      </c>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71"/>
      <c r="AC126" s="57"/>
      <c r="AD126" s="57"/>
      <c r="AE126" s="61"/>
      <c r="AF126" s="61"/>
      <c r="AG126" s="61"/>
      <c r="AH126" s="61"/>
      <c r="AI126" s="61"/>
      <c r="AJ126" s="61"/>
      <c r="AK126" s="61"/>
      <c r="AL126" s="61"/>
      <c r="AM126" s="61"/>
      <c r="AN126" s="61"/>
      <c r="AO126" s="61"/>
      <c r="AP126" s="61"/>
      <c r="AQ126" s="61"/>
      <c r="AR126" s="61"/>
      <c r="AS126" s="61"/>
      <c r="AT126" s="57"/>
      <c r="AU126" s="56"/>
      <c r="AV126" s="56"/>
      <c r="AW126" s="70"/>
      <c r="AX126" s="70"/>
      <c r="AY126" s="70"/>
      <c r="AZ126" s="70"/>
      <c r="BA126" s="70"/>
      <c r="BB126" s="70"/>
    </row>
    <row r="127" spans="1:54" s="24" customFormat="1" ht="7.5" customHeight="1">
      <c r="A127" s="460"/>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71"/>
      <c r="AC127" s="57"/>
      <c r="AD127" s="57"/>
      <c r="AE127" s="61"/>
      <c r="AF127" s="61"/>
      <c r="AG127" s="61"/>
      <c r="AH127" s="61"/>
      <c r="AI127" s="61"/>
      <c r="AJ127" s="61"/>
      <c r="AK127" s="61"/>
      <c r="AL127" s="61"/>
      <c r="AM127" s="61"/>
      <c r="AN127" s="61"/>
      <c r="AO127" s="61"/>
      <c r="AP127" s="61"/>
      <c r="AQ127" s="61"/>
      <c r="AR127" s="61"/>
      <c r="AS127" s="61"/>
      <c r="AT127" s="57"/>
      <c r="AU127" s="56"/>
      <c r="AV127" s="56"/>
      <c r="AW127" s="70"/>
      <c r="AX127" s="70"/>
      <c r="AY127" s="70"/>
      <c r="AZ127" s="70"/>
      <c r="BA127" s="70"/>
      <c r="BB127" s="70"/>
    </row>
    <row r="128" spans="1:54" s="24" customFormat="1" ht="51.75" customHeight="1">
      <c r="A128" s="486" t="s">
        <v>259</v>
      </c>
      <c r="B128" s="486"/>
      <c r="C128" s="486"/>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71"/>
      <c r="AC128" s="57"/>
      <c r="AD128" s="57"/>
      <c r="AE128" s="61"/>
      <c r="AF128" s="61"/>
      <c r="AG128" s="61"/>
      <c r="AH128" s="61"/>
      <c r="AI128" s="61"/>
      <c r="AJ128" s="61"/>
      <c r="AK128" s="61"/>
      <c r="AL128" s="61"/>
      <c r="AM128" s="61"/>
      <c r="AN128" s="61"/>
      <c r="AO128" s="61"/>
      <c r="AP128" s="61"/>
      <c r="AQ128" s="61"/>
      <c r="AR128" s="61"/>
      <c r="AS128" s="61"/>
      <c r="AT128" s="57"/>
      <c r="AU128" s="56"/>
      <c r="AV128" s="56"/>
      <c r="AW128" s="54"/>
      <c r="AX128" s="54"/>
      <c r="AY128" s="54"/>
      <c r="AZ128" s="54"/>
      <c r="BA128" s="54"/>
      <c r="BB128" s="54"/>
    </row>
    <row r="129" spans="1:54" s="24" customFormat="1" ht="7.5" customHeight="1">
      <c r="A129" s="460"/>
      <c r="B129" s="460"/>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71"/>
      <c r="AC129" s="57"/>
      <c r="AD129" s="57"/>
      <c r="AE129" s="61"/>
      <c r="AF129" s="61"/>
      <c r="AG129" s="61"/>
      <c r="AH129" s="61"/>
      <c r="AI129" s="61"/>
      <c r="AJ129" s="61"/>
      <c r="AK129" s="61"/>
      <c r="AL129" s="61"/>
      <c r="AM129" s="61"/>
      <c r="AN129" s="61"/>
      <c r="AO129" s="61"/>
      <c r="AP129" s="61"/>
      <c r="AQ129" s="61"/>
      <c r="AR129" s="61"/>
      <c r="AS129" s="61"/>
      <c r="AT129" s="57"/>
      <c r="AU129" s="56"/>
      <c r="AV129" s="56"/>
      <c r="AW129" s="54"/>
      <c r="AX129" s="54"/>
      <c r="AY129" s="54"/>
      <c r="AZ129" s="54"/>
      <c r="BA129" s="54"/>
      <c r="BB129" s="54"/>
    </row>
    <row r="130" spans="1:54" s="24" customFormat="1" ht="65.25" customHeight="1">
      <c r="A130" s="512" t="s">
        <v>260</v>
      </c>
      <c r="B130" s="502"/>
      <c r="C130" s="502"/>
      <c r="D130" s="502"/>
      <c r="E130" s="502"/>
      <c r="F130" s="502"/>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71"/>
      <c r="AC130" s="57"/>
      <c r="AD130" s="57"/>
      <c r="AE130" s="83"/>
      <c r="AF130" s="54"/>
      <c r="AG130" s="54"/>
      <c r="AH130" s="54"/>
      <c r="AI130" s="54"/>
      <c r="AJ130" s="54"/>
      <c r="AK130" s="82"/>
      <c r="AL130" s="82"/>
      <c r="AM130" s="52"/>
      <c r="AN130" s="52"/>
      <c r="AO130" s="52"/>
      <c r="AP130" s="57"/>
      <c r="AQ130" s="57"/>
      <c r="AR130" s="57"/>
      <c r="AS130" s="57"/>
      <c r="AT130" s="57"/>
      <c r="AU130" s="56"/>
      <c r="AV130" s="56"/>
      <c r="AW130" s="54"/>
      <c r="AX130" s="54"/>
      <c r="AY130" s="54"/>
      <c r="AZ130" s="54"/>
      <c r="BA130" s="54"/>
      <c r="BB130" s="54"/>
    </row>
    <row r="131" spans="1:54" s="24" customFormat="1" ht="7.5" customHeight="1">
      <c r="A131" s="502"/>
      <c r="B131" s="502"/>
      <c r="C131" s="502"/>
      <c r="D131" s="502"/>
      <c r="E131" s="502"/>
      <c r="F131" s="502"/>
      <c r="G131" s="502"/>
      <c r="H131" s="502"/>
      <c r="I131" s="502"/>
      <c r="J131" s="502"/>
      <c r="K131" s="502"/>
      <c r="L131" s="502"/>
      <c r="M131" s="502"/>
      <c r="N131" s="502"/>
      <c r="O131" s="502"/>
      <c r="P131" s="502"/>
      <c r="Q131" s="502"/>
      <c r="R131" s="502"/>
      <c r="S131" s="502"/>
      <c r="T131" s="502"/>
      <c r="U131" s="502"/>
      <c r="V131" s="502"/>
      <c r="W131" s="502"/>
      <c r="X131" s="502"/>
      <c r="Y131" s="502"/>
      <c r="Z131" s="502"/>
      <c r="AA131" s="502"/>
      <c r="AB131" s="71"/>
      <c r="AC131" s="57"/>
      <c r="AD131" s="57"/>
      <c r="AE131" s="83"/>
      <c r="AF131" s="54"/>
      <c r="AG131" s="54"/>
      <c r="AH131" s="54"/>
      <c r="AI131" s="54"/>
      <c r="AJ131" s="54"/>
      <c r="AK131" s="82"/>
      <c r="AL131" s="82"/>
      <c r="AM131" s="52"/>
      <c r="AN131" s="52"/>
      <c r="AO131" s="52"/>
      <c r="AP131" s="57"/>
      <c r="AQ131" s="57"/>
      <c r="AR131" s="57"/>
      <c r="AS131" s="57"/>
      <c r="AT131" s="57"/>
      <c r="AU131" s="56"/>
      <c r="AV131" s="56"/>
      <c r="AW131" s="54"/>
      <c r="AX131" s="54"/>
      <c r="AY131" s="54"/>
      <c r="AZ131" s="54"/>
      <c r="BA131" s="54"/>
      <c r="BB131" s="54"/>
    </row>
    <row r="132" spans="1:54" s="24" customFormat="1" ht="94.9" customHeight="1">
      <c r="A132" s="512" t="s">
        <v>261</v>
      </c>
      <c r="B132" s="502"/>
      <c r="C132" s="502"/>
      <c r="D132" s="502"/>
      <c r="E132" s="502"/>
      <c r="F132" s="502"/>
      <c r="G132" s="502"/>
      <c r="H132" s="502"/>
      <c r="I132" s="502"/>
      <c r="J132" s="502"/>
      <c r="K132" s="502"/>
      <c r="L132" s="502"/>
      <c r="M132" s="502"/>
      <c r="N132" s="502"/>
      <c r="O132" s="502"/>
      <c r="P132" s="502"/>
      <c r="Q132" s="502"/>
      <c r="R132" s="502"/>
      <c r="S132" s="502"/>
      <c r="T132" s="502"/>
      <c r="U132" s="502"/>
      <c r="V132" s="502"/>
      <c r="W132" s="502"/>
      <c r="X132" s="502"/>
      <c r="Y132" s="502"/>
      <c r="Z132" s="502"/>
      <c r="AA132" s="502"/>
      <c r="AB132" s="71"/>
      <c r="AC132" s="57"/>
      <c r="AD132" s="57"/>
      <c r="AE132" s="83"/>
      <c r="AF132" s="54"/>
      <c r="AG132" s="54"/>
      <c r="AH132" s="54"/>
      <c r="AI132" s="54"/>
      <c r="AJ132" s="54"/>
      <c r="AK132" s="82"/>
      <c r="AL132" s="82"/>
      <c r="AM132" s="52"/>
      <c r="AN132" s="52"/>
      <c r="AO132" s="52"/>
      <c r="AP132" s="57"/>
      <c r="AQ132" s="57"/>
      <c r="AR132" s="57"/>
      <c r="AS132" s="57"/>
      <c r="AT132" s="57"/>
      <c r="AU132" s="56"/>
      <c r="AV132" s="56"/>
      <c r="AW132" s="54"/>
      <c r="AX132" s="54"/>
      <c r="AY132" s="54"/>
      <c r="AZ132" s="54"/>
      <c r="BA132" s="54"/>
      <c r="BB132" s="54"/>
    </row>
    <row r="133" spans="1:54" s="24" customFormat="1" ht="41.25" customHeight="1" thickBot="1">
      <c r="A133" s="504" t="s">
        <v>262</v>
      </c>
      <c r="B133" s="504"/>
      <c r="C133" s="504"/>
      <c r="D133" s="504"/>
      <c r="E133" s="504"/>
      <c r="F133" s="504"/>
      <c r="G133" s="507" t="s">
        <v>206</v>
      </c>
      <c r="H133" s="507"/>
      <c r="I133" s="507"/>
      <c r="J133" s="507"/>
      <c r="K133" s="507"/>
      <c r="L133" s="507"/>
      <c r="M133" s="507"/>
      <c r="N133" s="507"/>
      <c r="O133" s="507"/>
      <c r="P133" s="507"/>
      <c r="Q133" s="507"/>
      <c r="R133" s="507"/>
      <c r="S133" s="507"/>
      <c r="T133" s="507"/>
      <c r="U133" s="511"/>
      <c r="V133" s="511"/>
      <c r="W133" s="511"/>
      <c r="X133" s="511"/>
      <c r="Y133" s="511"/>
      <c r="Z133" s="511"/>
      <c r="AA133" s="511"/>
      <c r="AB133" s="71"/>
      <c r="AC133" s="57"/>
      <c r="AD133" s="57"/>
      <c r="AE133" s="61"/>
      <c r="AF133" s="61"/>
      <c r="AG133" s="61"/>
      <c r="AH133" s="61"/>
      <c r="AI133" s="61"/>
      <c r="AJ133" s="61"/>
      <c r="AK133" s="61"/>
      <c r="AL133" s="61"/>
      <c r="AM133" s="61"/>
      <c r="AN133" s="61"/>
      <c r="AO133" s="61"/>
      <c r="AP133" s="61"/>
      <c r="AQ133" s="61"/>
      <c r="AR133" s="61"/>
      <c r="AS133" s="61"/>
      <c r="AT133" s="57"/>
      <c r="AU133" s="56"/>
      <c r="AV133" s="56"/>
      <c r="AW133" s="54"/>
      <c r="AX133" s="54"/>
      <c r="AY133" s="54"/>
      <c r="AZ133" s="54"/>
      <c r="BA133" s="54"/>
      <c r="BB133" s="54"/>
    </row>
    <row r="134" spans="1:54" s="24" customFormat="1" ht="40.5" customHeight="1" thickBot="1">
      <c r="A134" s="501" t="s">
        <v>263</v>
      </c>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71"/>
      <c r="AC134" s="57"/>
      <c r="AD134" s="57"/>
      <c r="AE134" s="61"/>
      <c r="AF134" s="61"/>
      <c r="AG134" s="61"/>
      <c r="AH134" s="61"/>
      <c r="AI134" s="61"/>
      <c r="AJ134" s="61"/>
      <c r="AK134" s="61"/>
      <c r="AL134" s="61"/>
      <c r="AM134" s="61"/>
      <c r="AN134" s="61"/>
      <c r="AO134" s="61"/>
      <c r="AP134" s="61"/>
      <c r="AQ134" s="61"/>
      <c r="AR134" s="61"/>
      <c r="AS134" s="61"/>
      <c r="AT134" s="57"/>
      <c r="AU134" s="56"/>
      <c r="AV134" s="56"/>
      <c r="AW134" s="54"/>
      <c r="AX134" s="54"/>
      <c r="AY134" s="54"/>
      <c r="AZ134" s="54"/>
      <c r="BA134" s="54"/>
      <c r="BB134" s="54"/>
    </row>
    <row r="135" spans="1:54" s="24" customFormat="1" ht="67.5" customHeight="1">
      <c r="A135" s="491" t="s">
        <v>264</v>
      </c>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71"/>
      <c r="AC135" s="57"/>
      <c r="AD135" s="57"/>
      <c r="AE135" s="61"/>
      <c r="AF135" s="61"/>
      <c r="AG135" s="61"/>
      <c r="AH135" s="61"/>
      <c r="AI135" s="61"/>
      <c r="AJ135" s="61"/>
      <c r="AK135" s="61"/>
      <c r="AL135" s="61"/>
      <c r="AM135" s="61"/>
      <c r="AN135" s="61"/>
      <c r="AO135" s="61"/>
      <c r="AP135" s="61"/>
      <c r="AQ135" s="61"/>
      <c r="AR135" s="61"/>
      <c r="AS135" s="61"/>
      <c r="AT135" s="57"/>
      <c r="AU135" s="56"/>
      <c r="AV135" s="56"/>
      <c r="AW135" s="54"/>
      <c r="AX135" s="54"/>
      <c r="AY135" s="54"/>
      <c r="AZ135" s="54"/>
      <c r="BA135" s="54"/>
      <c r="BB135" s="54"/>
    </row>
    <row r="136" spans="1:54" s="24" customFormat="1" ht="7.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71"/>
      <c r="AC136" s="57"/>
      <c r="AD136" s="57"/>
      <c r="AE136" s="61"/>
      <c r="AF136" s="61"/>
      <c r="AG136" s="61"/>
      <c r="AH136" s="61"/>
      <c r="AI136" s="61"/>
      <c r="AJ136" s="61"/>
      <c r="AK136" s="61"/>
      <c r="AL136" s="61"/>
      <c r="AM136" s="61"/>
      <c r="AN136" s="61"/>
      <c r="AO136" s="61"/>
      <c r="AP136" s="61"/>
      <c r="AQ136" s="61"/>
      <c r="AR136" s="61"/>
      <c r="AS136" s="61"/>
      <c r="AT136" s="57"/>
      <c r="AU136" s="56"/>
      <c r="AV136" s="56"/>
      <c r="AW136" s="54"/>
      <c r="AX136" s="54"/>
      <c r="AY136" s="54"/>
      <c r="AZ136" s="54"/>
      <c r="BA136" s="54"/>
      <c r="BB136" s="54"/>
    </row>
    <row r="137" spans="1:54" s="24" customFormat="1" ht="86.25" customHeight="1">
      <c r="A137" s="500" t="s">
        <v>265</v>
      </c>
      <c r="B137" s="500"/>
      <c r="C137" s="500"/>
      <c r="D137" s="500"/>
      <c r="E137" s="500"/>
      <c r="F137" s="500"/>
      <c r="G137" s="500"/>
      <c r="H137" s="500"/>
      <c r="I137" s="500"/>
      <c r="J137" s="500"/>
      <c r="K137" s="500"/>
      <c r="L137" s="500"/>
      <c r="M137" s="500"/>
      <c r="N137" s="500"/>
      <c r="O137" s="500"/>
      <c r="P137" s="500"/>
      <c r="Q137" s="500"/>
      <c r="R137" s="500"/>
      <c r="S137" s="500"/>
      <c r="T137" s="500"/>
      <c r="U137" s="500"/>
      <c r="V137" s="500"/>
      <c r="W137" s="500"/>
      <c r="X137" s="500"/>
      <c r="Y137" s="500"/>
      <c r="Z137" s="500"/>
      <c r="AA137" s="500"/>
      <c r="AB137" s="71"/>
      <c r="AC137" s="57"/>
      <c r="AD137" s="57"/>
      <c r="AE137" s="83"/>
      <c r="AF137" s="54"/>
      <c r="AG137" s="54"/>
      <c r="AH137" s="54"/>
      <c r="AI137" s="54"/>
      <c r="AJ137" s="54"/>
      <c r="AK137" s="82"/>
      <c r="AL137" s="82"/>
      <c r="AM137" s="52"/>
      <c r="AN137" s="52"/>
      <c r="AO137" s="52"/>
      <c r="AP137" s="57"/>
      <c r="AQ137" s="57"/>
      <c r="AR137" s="57"/>
      <c r="AS137" s="57"/>
      <c r="AT137" s="57"/>
      <c r="AU137" s="56"/>
      <c r="AV137" s="56"/>
      <c r="AW137" s="54"/>
      <c r="AX137" s="54"/>
      <c r="AY137" s="54"/>
      <c r="AZ137" s="54"/>
      <c r="BA137" s="54"/>
      <c r="BB137" s="54"/>
    </row>
    <row r="138" spans="1:54" s="24" customFormat="1" ht="7.5" customHeight="1">
      <c r="A138" s="500"/>
      <c r="B138" s="500"/>
      <c r="C138" s="500"/>
      <c r="D138" s="500"/>
      <c r="E138" s="500"/>
      <c r="F138" s="500"/>
      <c r="G138" s="500"/>
      <c r="H138" s="500"/>
      <c r="I138" s="500"/>
      <c r="J138" s="500"/>
      <c r="K138" s="500"/>
      <c r="L138" s="500"/>
      <c r="M138" s="500"/>
      <c r="N138" s="500"/>
      <c r="O138" s="500"/>
      <c r="P138" s="500"/>
      <c r="Q138" s="500"/>
      <c r="R138" s="500"/>
      <c r="S138" s="500"/>
      <c r="T138" s="500"/>
      <c r="U138" s="500"/>
      <c r="V138" s="500"/>
      <c r="W138" s="500"/>
      <c r="X138" s="500"/>
      <c r="Y138" s="500"/>
      <c r="Z138" s="500"/>
      <c r="AA138" s="500"/>
      <c r="AB138" s="71"/>
      <c r="AC138" s="57"/>
      <c r="AD138" s="57"/>
      <c r="AE138" s="83"/>
      <c r="AF138" s="54"/>
      <c r="AG138" s="54"/>
      <c r="AH138" s="54"/>
      <c r="AI138" s="54"/>
      <c r="AJ138" s="54"/>
      <c r="AK138" s="82"/>
      <c r="AL138" s="82"/>
      <c r="AM138" s="52"/>
      <c r="AN138" s="52"/>
      <c r="AO138" s="52"/>
      <c r="AP138" s="57"/>
      <c r="AQ138" s="57"/>
      <c r="AR138" s="57"/>
      <c r="AS138" s="57"/>
      <c r="AT138" s="57"/>
      <c r="AU138" s="56"/>
      <c r="AV138" s="56"/>
      <c r="AW138" s="54"/>
      <c r="AX138" s="54"/>
      <c r="AY138" s="54"/>
      <c r="AZ138" s="54"/>
      <c r="BA138" s="54"/>
      <c r="BB138" s="54"/>
    </row>
    <row r="139" spans="1:54" s="24" customFormat="1" ht="87" customHeight="1">
      <c r="A139" s="510" t="s">
        <v>266</v>
      </c>
      <c r="B139" s="510"/>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c r="AA139" s="510"/>
      <c r="AB139" s="71"/>
      <c r="AC139" s="57"/>
      <c r="AD139" s="57"/>
      <c r="AE139" s="61"/>
      <c r="AF139" s="61"/>
      <c r="AG139" s="61"/>
      <c r="AH139" s="61"/>
      <c r="AI139" s="61"/>
      <c r="AJ139" s="61"/>
      <c r="AK139" s="61"/>
      <c r="AL139" s="61"/>
      <c r="AM139" s="61"/>
      <c r="AN139" s="61"/>
      <c r="AO139" s="61"/>
      <c r="AP139" s="61"/>
      <c r="AQ139" s="61"/>
      <c r="AR139" s="61"/>
      <c r="AS139" s="61"/>
      <c r="AT139" s="57"/>
      <c r="AU139" s="56"/>
      <c r="AV139" s="56"/>
      <c r="AW139" s="70"/>
      <c r="AX139" s="70"/>
      <c r="AY139" s="70"/>
      <c r="AZ139" s="70"/>
      <c r="BA139" s="70"/>
      <c r="BB139" s="70"/>
    </row>
    <row r="140" spans="1:54" s="24" customFormat="1" ht="12.75" customHeight="1">
      <c r="A140" s="357"/>
      <c r="B140" 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71"/>
      <c r="AC140" s="57"/>
      <c r="AD140" s="57"/>
      <c r="AE140" s="61"/>
      <c r="AF140" s="61"/>
      <c r="AG140" s="61"/>
      <c r="AH140" s="61"/>
      <c r="AI140" s="61"/>
      <c r="AJ140" s="61"/>
      <c r="AK140" s="61"/>
      <c r="AL140" s="61"/>
      <c r="AM140" s="61"/>
      <c r="AN140" s="61"/>
      <c r="AO140" s="61"/>
      <c r="AP140" s="61"/>
      <c r="AQ140" s="61"/>
      <c r="AR140" s="61"/>
      <c r="AS140" s="61"/>
      <c r="AT140" s="57"/>
      <c r="AU140" s="56"/>
      <c r="AV140" s="56"/>
      <c r="AW140" s="70"/>
      <c r="AX140" s="70"/>
      <c r="AY140" s="70"/>
      <c r="AZ140" s="70"/>
      <c r="BA140" s="70"/>
      <c r="BB140" s="70"/>
    </row>
    <row r="141" spans="1:54" s="343" customFormat="1" ht="82.5" customHeight="1">
      <c r="A141" s="509" t="s">
        <v>267</v>
      </c>
      <c r="B141" s="509"/>
      <c r="C141" s="509"/>
      <c r="D141" s="509"/>
      <c r="E141" s="509"/>
      <c r="F141" s="509"/>
      <c r="G141" s="509"/>
      <c r="H141" s="509"/>
      <c r="I141" s="509"/>
      <c r="J141" s="509"/>
      <c r="K141" s="509"/>
      <c r="L141" s="509"/>
      <c r="M141" s="509"/>
      <c r="N141" s="509"/>
      <c r="O141" s="509"/>
      <c r="P141" s="509"/>
      <c r="Q141" s="509"/>
      <c r="R141" s="509"/>
      <c r="S141" s="509"/>
      <c r="T141" s="509"/>
      <c r="U141" s="509"/>
      <c r="V141" s="509"/>
      <c r="W141" s="509"/>
      <c r="X141" s="509"/>
      <c r="Y141" s="509"/>
      <c r="Z141" s="509"/>
      <c r="AA141" s="509"/>
      <c r="AB141" s="71"/>
      <c r="AC141" s="345"/>
      <c r="AD141" s="345"/>
      <c r="AE141" s="83"/>
      <c r="AF141" s="54"/>
      <c r="AG141" s="54"/>
      <c r="AH141" s="54"/>
      <c r="AI141" s="54"/>
      <c r="AJ141" s="54"/>
      <c r="AK141" s="82"/>
      <c r="AL141" s="82"/>
      <c r="AM141" s="52"/>
      <c r="AN141" s="52"/>
      <c r="AO141" s="52"/>
      <c r="AP141" s="345"/>
      <c r="AQ141" s="345"/>
      <c r="AR141" s="345"/>
      <c r="AS141" s="345"/>
      <c r="AT141" s="345"/>
      <c r="AU141" s="344"/>
      <c r="AV141" s="344"/>
      <c r="AW141" s="54"/>
      <c r="AX141" s="54"/>
      <c r="AY141" s="54"/>
      <c r="AZ141" s="54"/>
      <c r="BA141" s="54"/>
      <c r="BB141" s="54"/>
    </row>
    <row r="142" spans="1:54" s="343" customFormat="1" ht="14.25" customHeight="1" thickBot="1">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71"/>
      <c r="AC142" s="345"/>
      <c r="AD142" s="345"/>
      <c r="AE142" s="83"/>
      <c r="AF142" s="54"/>
      <c r="AG142" s="54"/>
      <c r="AH142" s="54"/>
      <c r="AI142" s="54"/>
      <c r="AJ142" s="54"/>
      <c r="AK142" s="82"/>
      <c r="AL142" s="82"/>
      <c r="AM142" s="52"/>
      <c r="AN142" s="52"/>
      <c r="AO142" s="52"/>
      <c r="AP142" s="345"/>
      <c r="AQ142" s="345"/>
      <c r="AR142" s="345"/>
      <c r="AS142" s="345"/>
      <c r="AT142" s="345"/>
      <c r="AU142" s="344"/>
      <c r="AV142" s="344"/>
      <c r="AW142" s="54"/>
      <c r="AX142" s="54"/>
      <c r="AY142" s="54"/>
      <c r="AZ142" s="54"/>
      <c r="BA142" s="54"/>
      <c r="BB142" s="54"/>
    </row>
    <row r="143" spans="1:54" s="24" customFormat="1" ht="17.25" customHeight="1" thickBot="1">
      <c r="A143" s="118" t="s">
        <v>268</v>
      </c>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20"/>
      <c r="AB143" s="71"/>
      <c r="AC143" s="57"/>
      <c r="AD143" s="57"/>
      <c r="AT143" s="85"/>
      <c r="AU143" s="86"/>
      <c r="AV143" s="86"/>
      <c r="AW143" s="70"/>
      <c r="AX143" s="70"/>
      <c r="AY143" s="70"/>
      <c r="AZ143" s="70"/>
      <c r="BA143" s="70"/>
      <c r="BB143" s="70"/>
    </row>
    <row r="144" spans="1:54" s="24" customFormat="1" ht="17.25" customHeight="1">
      <c r="A144" s="457" t="s">
        <v>269</v>
      </c>
      <c r="B144" s="457"/>
      <c r="C144" s="457"/>
      <c r="D144" s="464"/>
      <c r="E144" s="464"/>
      <c r="F144" s="464"/>
      <c r="G144" s="193" t="s">
        <v>270</v>
      </c>
      <c r="H144" s="464"/>
      <c r="I144" s="464"/>
      <c r="J144" s="464"/>
      <c r="K144" s="193"/>
      <c r="L144" s="193"/>
      <c r="M144" s="193"/>
      <c r="N144" s="193"/>
      <c r="O144" s="193"/>
      <c r="P144" s="193"/>
      <c r="Q144" s="193"/>
      <c r="R144" s="193"/>
      <c r="S144" s="193"/>
      <c r="T144" s="193"/>
      <c r="U144" s="193"/>
      <c r="V144" s="193"/>
      <c r="W144" s="194"/>
      <c r="X144" s="194"/>
      <c r="Y144" s="194"/>
      <c r="Z144" s="194"/>
      <c r="AA144" s="194"/>
      <c r="AB144" s="71"/>
      <c r="AC144" s="57"/>
      <c r="AD144" s="57"/>
      <c r="AT144" s="85"/>
      <c r="AU144" s="86"/>
      <c r="AV144" s="86"/>
      <c r="AW144" s="70"/>
      <c r="AX144" s="70"/>
      <c r="AY144" s="70"/>
      <c r="AZ144" s="70"/>
      <c r="BA144" s="70"/>
      <c r="BB144" s="70"/>
    </row>
    <row r="145" spans="1:54" s="24" customFormat="1" ht="17.25" customHeight="1">
      <c r="A145" s="457" t="s">
        <v>271</v>
      </c>
      <c r="B145" s="457"/>
      <c r="C145" s="457"/>
      <c r="D145" s="458"/>
      <c r="E145" s="458"/>
      <c r="F145" s="458"/>
      <c r="G145" s="193" t="s">
        <v>270</v>
      </c>
      <c r="H145" s="458"/>
      <c r="I145" s="458"/>
      <c r="J145" s="458"/>
      <c r="K145" s="193"/>
      <c r="L145" s="193"/>
      <c r="M145" s="193"/>
      <c r="N145" s="193"/>
      <c r="O145" s="193"/>
      <c r="P145" s="193"/>
      <c r="Q145" s="193"/>
      <c r="R145" s="193"/>
      <c r="S145" s="193"/>
      <c r="T145" s="193"/>
      <c r="U145" s="193"/>
      <c r="V145" s="193"/>
      <c r="W145" s="194"/>
      <c r="X145" s="194"/>
      <c r="Y145" s="194"/>
      <c r="Z145" s="194"/>
      <c r="AA145" s="194"/>
      <c r="AB145" s="71"/>
      <c r="AC145" s="57"/>
      <c r="AD145" s="57"/>
      <c r="AT145" s="84"/>
      <c r="AU145" s="56"/>
      <c r="AV145" s="56"/>
      <c r="AW145" s="70"/>
      <c r="AX145" s="70"/>
      <c r="AY145" s="70"/>
      <c r="AZ145" s="70"/>
      <c r="BA145" s="70"/>
      <c r="BB145" s="70"/>
    </row>
    <row r="146" spans="1:54" s="24" customFormat="1" ht="17.25" customHeight="1">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4"/>
      <c r="X146" s="194"/>
      <c r="Y146" s="194"/>
      <c r="Z146" s="194"/>
      <c r="AA146" s="194"/>
      <c r="AB146" s="71"/>
      <c r="AC146" s="57"/>
      <c r="AD146" s="57"/>
      <c r="AT146" s="84"/>
      <c r="AU146" s="56"/>
      <c r="AV146" s="56"/>
      <c r="AW146" s="70"/>
      <c r="AX146" s="70"/>
      <c r="AY146" s="70"/>
      <c r="AZ146" s="70"/>
      <c r="BA146" s="70"/>
      <c r="BB146" s="70"/>
    </row>
    <row r="147" spans="1:54" s="24" customFormat="1" ht="17.25" customHeight="1">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4"/>
      <c r="X147" s="194"/>
      <c r="Y147" s="194"/>
      <c r="Z147" s="194"/>
      <c r="AA147" s="194"/>
      <c r="AB147" s="71"/>
      <c r="AC147" s="57"/>
      <c r="AD147" s="57"/>
      <c r="AT147" s="84"/>
      <c r="AU147" s="56"/>
      <c r="AV147" s="56"/>
      <c r="AW147" s="70"/>
      <c r="AX147" s="70"/>
      <c r="AY147" s="70"/>
      <c r="AZ147" s="70"/>
      <c r="BA147" s="70"/>
      <c r="BB147" s="70"/>
    </row>
    <row r="148" spans="1:54" s="24" customFormat="1" ht="17.25" customHeight="1">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4"/>
      <c r="X148" s="194"/>
      <c r="Y148" s="194"/>
      <c r="Z148" s="194"/>
      <c r="AA148" s="194"/>
      <c r="AB148" s="71"/>
      <c r="AC148" s="57"/>
      <c r="AD148" s="57"/>
      <c r="AT148" s="84"/>
      <c r="AU148" s="56"/>
      <c r="AV148" s="56"/>
      <c r="AW148" s="70"/>
      <c r="AX148" s="70"/>
      <c r="AY148" s="70"/>
      <c r="AZ148" s="70"/>
      <c r="BA148" s="70"/>
      <c r="BB148" s="70"/>
    </row>
    <row r="149" spans="1:54" s="24" customFormat="1" ht="17.25" customHeight="1">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4"/>
      <c r="X149" s="194"/>
      <c r="Y149" s="194"/>
      <c r="Z149" s="194"/>
      <c r="AA149" s="194"/>
      <c r="AB149" s="71"/>
      <c r="AC149" s="57"/>
      <c r="AD149" s="57"/>
      <c r="AT149" s="84"/>
      <c r="AU149" s="56"/>
      <c r="AV149" s="56"/>
      <c r="AW149" s="70"/>
      <c r="AX149" s="70"/>
      <c r="AY149" s="70"/>
      <c r="AZ149" s="70"/>
      <c r="BA149" s="70"/>
      <c r="BB149" s="70"/>
    </row>
    <row r="150" spans="1:54" s="24" customFormat="1" ht="17.25" customHeight="1">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4"/>
      <c r="X150" s="194"/>
      <c r="Y150" s="194"/>
      <c r="Z150" s="194"/>
      <c r="AA150" s="194"/>
      <c r="AB150" s="71"/>
      <c r="AC150" s="57"/>
      <c r="AD150" s="57"/>
      <c r="AT150" s="84"/>
      <c r="AU150" s="56"/>
      <c r="AV150" s="56"/>
      <c r="AW150" s="70"/>
      <c r="AX150" s="70"/>
      <c r="AY150" s="70"/>
      <c r="AZ150" s="70"/>
      <c r="BA150" s="70"/>
      <c r="BB150" s="70"/>
    </row>
    <row r="151" spans="1:54" s="24" customFormat="1" ht="17.25" customHeight="1">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4"/>
      <c r="X151" s="194"/>
      <c r="Y151" s="194"/>
      <c r="Z151" s="194"/>
      <c r="AA151" s="194"/>
      <c r="AB151" s="71"/>
      <c r="AC151" s="57"/>
      <c r="AD151" s="57"/>
      <c r="AT151" s="84"/>
      <c r="AU151" s="56"/>
      <c r="AV151" s="56"/>
      <c r="AW151" s="70"/>
      <c r="AX151" s="70"/>
      <c r="AY151" s="70"/>
      <c r="AZ151" s="70"/>
      <c r="BA151" s="70"/>
      <c r="BB151" s="70"/>
    </row>
    <row r="152" spans="1:54" s="24" customFormat="1" ht="17.25" customHeight="1">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4"/>
      <c r="X152" s="194"/>
      <c r="Y152" s="194"/>
      <c r="Z152" s="194"/>
      <c r="AA152" s="194"/>
      <c r="AB152" s="71"/>
      <c r="AC152" s="57"/>
      <c r="AD152" s="57"/>
      <c r="AT152" s="84"/>
      <c r="AU152" s="56"/>
      <c r="AV152" s="56"/>
      <c r="AW152" s="70"/>
      <c r="AX152" s="70"/>
      <c r="AY152" s="70"/>
      <c r="AZ152" s="70"/>
      <c r="BA152" s="70"/>
      <c r="BB152" s="70"/>
    </row>
    <row r="153" spans="1:54" s="24" customFormat="1" ht="17.25" customHeight="1">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4"/>
      <c r="X153" s="194"/>
      <c r="Y153" s="194"/>
      <c r="Z153" s="194"/>
      <c r="AA153" s="194"/>
      <c r="AB153" s="71"/>
      <c r="AC153" s="57"/>
      <c r="AD153" s="57"/>
      <c r="AT153" s="84"/>
      <c r="AU153" s="56"/>
      <c r="AV153" s="56"/>
      <c r="AW153" s="70"/>
      <c r="AX153" s="70"/>
      <c r="AY153" s="70"/>
      <c r="AZ153" s="70"/>
      <c r="BA153" s="70"/>
      <c r="BB153" s="70"/>
    </row>
    <row r="154" spans="1:54" s="24" customFormat="1" ht="17.25" customHeight="1">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4"/>
      <c r="X154" s="194"/>
      <c r="Y154" s="194"/>
      <c r="Z154" s="194"/>
      <c r="AA154" s="194"/>
      <c r="AB154" s="71"/>
      <c r="AC154" s="57"/>
      <c r="AD154" s="57"/>
      <c r="AT154" s="84"/>
      <c r="AU154" s="56"/>
      <c r="AV154" s="56"/>
      <c r="AW154" s="70"/>
      <c r="AX154" s="70"/>
      <c r="AY154" s="70"/>
      <c r="AZ154" s="70"/>
      <c r="BA154" s="70"/>
      <c r="BB154" s="70"/>
    </row>
    <row r="155" spans="1:54" s="24" customFormat="1" ht="17.25" customHeight="1">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4"/>
      <c r="X155" s="194"/>
      <c r="Y155" s="194"/>
      <c r="Z155" s="194"/>
      <c r="AA155" s="194"/>
      <c r="AB155" s="71"/>
      <c r="AC155" s="57"/>
      <c r="AD155" s="57"/>
      <c r="AT155" s="84"/>
      <c r="AU155" s="56"/>
      <c r="AV155" s="56"/>
      <c r="AW155" s="70"/>
      <c r="AX155" s="70"/>
      <c r="AY155" s="70"/>
      <c r="AZ155" s="70"/>
      <c r="BA155" s="70"/>
      <c r="BB155" s="70"/>
    </row>
    <row r="156" spans="1:54" s="24" customFormat="1" ht="17.25" customHeight="1">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4"/>
      <c r="X156" s="194"/>
      <c r="Y156" s="194"/>
      <c r="Z156" s="194"/>
      <c r="AA156" s="194"/>
      <c r="AB156" s="71"/>
      <c r="AC156" s="57"/>
      <c r="AD156" s="57"/>
      <c r="AT156" s="57"/>
      <c r="AU156" s="56"/>
      <c r="AV156" s="56"/>
      <c r="AW156" s="70"/>
      <c r="AX156" s="70"/>
      <c r="AY156" s="70"/>
      <c r="AZ156" s="70"/>
      <c r="BA156" s="70"/>
      <c r="BB156" s="70"/>
    </row>
    <row r="157" spans="1:54" s="24" customFormat="1" ht="17.25" customHeight="1">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4"/>
      <c r="X157" s="194"/>
      <c r="Y157" s="194"/>
      <c r="Z157" s="194"/>
      <c r="AA157" s="194"/>
      <c r="AB157" s="71"/>
      <c r="AC157" s="57"/>
      <c r="AD157" s="57"/>
      <c r="AT157" s="57"/>
      <c r="AU157" s="56"/>
      <c r="AV157" s="56"/>
      <c r="AW157" s="70"/>
      <c r="AX157" s="70"/>
      <c r="AY157" s="70"/>
      <c r="AZ157" s="70"/>
      <c r="BA157" s="70"/>
      <c r="BB157" s="70"/>
    </row>
    <row r="158" spans="1:54" s="24" customFormat="1" ht="15" customHeight="1">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4"/>
      <c r="X158" s="194"/>
      <c r="Y158" s="194"/>
      <c r="Z158" s="194"/>
      <c r="AA158" s="194"/>
      <c r="AB158" s="71"/>
      <c r="AC158" s="57"/>
      <c r="AD158" s="57"/>
      <c r="AT158" s="57"/>
      <c r="AU158" s="56"/>
      <c r="AV158" s="56"/>
      <c r="AW158" s="70"/>
      <c r="AX158" s="70"/>
      <c r="AY158" s="70"/>
      <c r="AZ158" s="70"/>
      <c r="BA158" s="70"/>
      <c r="BB158" s="70"/>
    </row>
    <row r="159" spans="1:54" s="24" customFormat="1" ht="13.5" customHeight="1">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6"/>
      <c r="X159" s="196"/>
      <c r="Y159" s="196"/>
      <c r="Z159" s="196"/>
      <c r="AA159" s="196"/>
      <c r="AB159" s="71"/>
      <c r="AC159" s="57"/>
      <c r="AD159" s="57"/>
      <c r="AT159" s="57"/>
      <c r="AU159" s="56"/>
      <c r="AV159" s="56"/>
      <c r="AW159" s="70"/>
      <c r="AX159" s="70"/>
      <c r="AY159" s="70"/>
      <c r="AZ159" s="70"/>
      <c r="BA159" s="70"/>
      <c r="BB159" s="70"/>
    </row>
    <row r="160" spans="1:54" s="24" customFormat="1" ht="13.5" hidden="1" customHeight="1">
      <c r="A160" s="23"/>
      <c r="B160" s="23"/>
      <c r="C160" s="23"/>
      <c r="D160" s="23"/>
      <c r="E160" s="23"/>
      <c r="F160" s="453"/>
      <c r="G160" s="453"/>
      <c r="H160" s="453"/>
      <c r="I160" s="453"/>
      <c r="J160" s="453"/>
      <c r="K160" s="453"/>
      <c r="L160" s="453"/>
      <c r="M160" s="453"/>
      <c r="N160" s="453"/>
      <c r="O160" s="453"/>
      <c r="P160" s="453"/>
      <c r="Q160" s="453"/>
      <c r="R160" s="453"/>
      <c r="S160" s="453"/>
      <c r="T160" s="453"/>
      <c r="U160" s="453"/>
      <c r="V160" s="453"/>
      <c r="W160" s="453"/>
      <c r="X160" s="453"/>
      <c r="Y160" s="453"/>
      <c r="Z160" s="453"/>
      <c r="AA160" s="453"/>
      <c r="AB160" s="71"/>
      <c r="AC160" s="57"/>
      <c r="AD160" s="57"/>
      <c r="AT160" s="57"/>
      <c r="AU160" s="56"/>
      <c r="AV160" s="56"/>
      <c r="AW160" s="89"/>
      <c r="AX160" s="89"/>
      <c r="AY160" s="89"/>
      <c r="AZ160" s="89"/>
      <c r="BA160" s="89"/>
      <c r="BB160" s="89"/>
    </row>
    <row r="161" spans="6:77" s="24" customFormat="1" hidden="1">
      <c r="F161" s="25"/>
      <c r="G161" s="25"/>
      <c r="H161" s="25"/>
      <c r="I161" s="25"/>
      <c r="J161" s="25"/>
      <c r="K161" s="25"/>
      <c r="L161" s="25"/>
      <c r="M161" s="25"/>
      <c r="N161" s="25"/>
      <c r="O161" s="25"/>
      <c r="P161" s="25"/>
      <c r="Q161" s="25"/>
      <c r="R161" s="25"/>
      <c r="S161" s="25"/>
      <c r="T161" s="25"/>
      <c r="U161" s="25"/>
      <c r="V161" s="25"/>
      <c r="W161" s="25"/>
      <c r="X161" s="25"/>
      <c r="Y161" s="25"/>
      <c r="Z161" s="25"/>
      <c r="AA161" s="25"/>
      <c r="AB161" s="26"/>
      <c r="AC161" s="61"/>
      <c r="AD161" s="61"/>
      <c r="AE161" s="61"/>
      <c r="AF161" s="61"/>
      <c r="AG161" s="174" t="s">
        <v>272</v>
      </c>
      <c r="AH161" s="61"/>
      <c r="AI161" s="61"/>
      <c r="AJ161" s="61" t="s">
        <v>273</v>
      </c>
      <c r="AK161" s="61"/>
      <c r="AL161" s="61" t="s">
        <v>274</v>
      </c>
      <c r="AM161" s="61"/>
      <c r="AN161" s="61"/>
      <c r="AO161" s="61"/>
      <c r="AP161" s="61"/>
      <c r="AQ161" s="61"/>
      <c r="AR161" s="61"/>
      <c r="AS161" s="61"/>
      <c r="AT161" s="57"/>
      <c r="AU161" s="51"/>
      <c r="AV161" s="466" t="s">
        <v>275</v>
      </c>
      <c r="AW161" s="467"/>
      <c r="AX161" s="467"/>
      <c r="AY161" s="467"/>
      <c r="AZ161" s="467"/>
      <c r="BA161" s="467"/>
      <c r="BB161" s="467"/>
      <c r="BC161" s="467"/>
      <c r="BD161" s="467"/>
      <c r="BE161" s="467"/>
      <c r="BF161" s="468"/>
      <c r="BG161" s="59"/>
      <c r="BH161" s="59"/>
      <c r="BI161" s="59"/>
      <c r="BJ161" s="59"/>
      <c r="BK161" s="50"/>
      <c r="BL161" s="50"/>
      <c r="BM161" s="56"/>
      <c r="BN161" s="56"/>
      <c r="BO161" s="56"/>
      <c r="BP161" s="56"/>
      <c r="BQ161" s="56"/>
      <c r="BR161" s="56"/>
    </row>
    <row r="162" spans="6:77" s="24" customFormat="1" ht="13" hidden="1">
      <c r="F162" s="25"/>
      <c r="G162" s="25"/>
      <c r="H162" s="25"/>
      <c r="I162" s="25"/>
      <c r="J162" s="25"/>
      <c r="K162" s="25"/>
      <c r="L162" s="25"/>
      <c r="M162" s="25"/>
      <c r="N162" s="25"/>
      <c r="O162" s="25"/>
      <c r="P162" s="25"/>
      <c r="Q162" s="25"/>
      <c r="R162" s="25"/>
      <c r="S162" s="25"/>
      <c r="T162" s="25"/>
      <c r="U162" s="25"/>
      <c r="V162" s="25"/>
      <c r="X162" s="25"/>
      <c r="Y162" s="25"/>
      <c r="Z162" s="25"/>
      <c r="AA162" s="25"/>
      <c r="AB162" s="26"/>
      <c r="AC162" s="61"/>
      <c r="AD162" s="61"/>
      <c r="AE162" s="87" t="s">
        <v>276</v>
      </c>
      <c r="AF162" s="87" t="s">
        <v>277</v>
      </c>
      <c r="AG162" s="87" t="s">
        <v>278</v>
      </c>
      <c r="AH162" s="87" t="s">
        <v>279</v>
      </c>
      <c r="AI162" s="87" t="s">
        <v>280</v>
      </c>
      <c r="AJ162" s="87" t="s">
        <v>103</v>
      </c>
      <c r="AK162" s="87" t="s">
        <v>281</v>
      </c>
      <c r="AL162" s="87" t="s">
        <v>282</v>
      </c>
      <c r="AM162" s="87" t="s">
        <v>178</v>
      </c>
      <c r="AN162" s="312" t="s">
        <v>276</v>
      </c>
      <c r="AO162" s="312" t="s">
        <v>277</v>
      </c>
      <c r="AP162" s="312" t="s">
        <v>278</v>
      </c>
      <c r="AQ162" s="312" t="s">
        <v>283</v>
      </c>
      <c r="AR162" s="312" t="s">
        <v>284</v>
      </c>
      <c r="AS162" s="312" t="s">
        <v>285</v>
      </c>
      <c r="AT162" s="57"/>
      <c r="AU162" s="165" t="s">
        <v>19</v>
      </c>
      <c r="AV162" s="256" t="s">
        <v>286</v>
      </c>
      <c r="AW162" s="256" t="s">
        <v>287</v>
      </c>
      <c r="AX162" s="256" t="s">
        <v>288</v>
      </c>
      <c r="AY162" s="256" t="s">
        <v>289</v>
      </c>
      <c r="AZ162" s="256" t="s">
        <v>290</v>
      </c>
      <c r="BA162" s="256" t="s">
        <v>291</v>
      </c>
      <c r="BB162" s="256" t="s">
        <v>242</v>
      </c>
      <c r="BC162" s="263" t="s">
        <v>292</v>
      </c>
      <c r="BD162" s="256" t="s">
        <v>245</v>
      </c>
      <c r="BE162" s="261" t="s">
        <v>244</v>
      </c>
      <c r="BG162" s="327" t="s">
        <v>293</v>
      </c>
      <c r="BI162" s="256" t="str">
        <f>AU172</f>
        <v>Hotel_Room_Control_AC_Only</v>
      </c>
      <c r="BJ162" s="256" t="str">
        <f>AU173</f>
        <v>Hotel_Room_Control_Heat_Pumps</v>
      </c>
      <c r="BK162" s="256" t="str">
        <f>AU175</f>
        <v>Add_Economizers</v>
      </c>
      <c r="BL162" s="166" t="s">
        <v>294</v>
      </c>
      <c r="BM162" s="166" t="s">
        <v>295</v>
      </c>
      <c r="BN162" s="166" t="s">
        <v>296</v>
      </c>
      <c r="BO162" s="256" t="s">
        <v>297</v>
      </c>
      <c r="BP162" s="256" t="s">
        <v>298</v>
      </c>
      <c r="BQ162" s="256" t="s">
        <v>299</v>
      </c>
      <c r="BR162" s="166" t="s">
        <v>300</v>
      </c>
      <c r="BS162" s="256" t="s">
        <v>301</v>
      </c>
      <c r="BT162" s="256" t="s">
        <v>213</v>
      </c>
      <c r="BU162" s="166" t="s">
        <v>302</v>
      </c>
      <c r="BV162" s="348" t="s">
        <v>303</v>
      </c>
      <c r="BW162" s="166" t="s">
        <v>304</v>
      </c>
      <c r="BX162" s="350" t="s">
        <v>305</v>
      </c>
      <c r="BY162" s="356" t="s">
        <v>101</v>
      </c>
    </row>
    <row r="163" spans="6:77" s="24" customFormat="1" ht="13" hidden="1">
      <c r="F163" s="25"/>
      <c r="G163" s="25"/>
      <c r="H163" s="25"/>
      <c r="I163" s="25"/>
      <c r="J163" s="25"/>
      <c r="K163" s="25"/>
      <c r="L163" s="25"/>
      <c r="M163" s="25"/>
      <c r="N163" s="25"/>
      <c r="O163" s="25"/>
      <c r="P163" s="25"/>
      <c r="Q163" s="25"/>
      <c r="R163" s="25"/>
      <c r="S163" s="25"/>
      <c r="T163" s="25"/>
      <c r="U163" s="25"/>
      <c r="V163" s="25"/>
      <c r="X163" s="25"/>
      <c r="Y163" s="25"/>
      <c r="Z163" s="25"/>
      <c r="AA163" s="25"/>
      <c r="AB163" s="26"/>
      <c r="AC163" s="61"/>
      <c r="AD163" s="61"/>
      <c r="AE163" s="307" t="s">
        <v>306</v>
      </c>
      <c r="AF163" s="310" t="s">
        <v>41</v>
      </c>
      <c r="AG163" s="264">
        <v>30</v>
      </c>
      <c r="AH163" s="307">
        <v>50</v>
      </c>
      <c r="AI163" s="279">
        <v>15.99</v>
      </c>
      <c r="AJ163" s="279">
        <v>30</v>
      </c>
      <c r="AK163" s="197"/>
      <c r="AL163" s="88"/>
      <c r="AM163" s="197"/>
      <c r="AN163" s="313" t="s">
        <v>307</v>
      </c>
      <c r="AO163" s="314" t="s">
        <v>308</v>
      </c>
      <c r="AP163" s="265">
        <v>50</v>
      </c>
      <c r="AQ163" s="265">
        <v>11.2</v>
      </c>
      <c r="AR163" s="265">
        <v>13.1</v>
      </c>
      <c r="AS163" s="265"/>
      <c r="AT163" s="57"/>
      <c r="AU163" s="335" t="s">
        <v>286</v>
      </c>
      <c r="AV163" s="174" t="s">
        <v>156</v>
      </c>
      <c r="AW163" s="174" t="s">
        <v>156</v>
      </c>
      <c r="AX163" s="174" t="s">
        <v>153</v>
      </c>
      <c r="AY163" s="174" t="s">
        <v>153</v>
      </c>
      <c r="AZ163" s="257" t="s">
        <v>112</v>
      </c>
      <c r="BA163" s="257" t="s">
        <v>112</v>
      </c>
      <c r="BB163" s="174" t="s">
        <v>193</v>
      </c>
      <c r="BC163" s="263" t="s">
        <v>234</v>
      </c>
      <c r="BD163" s="174" t="s">
        <v>193</v>
      </c>
      <c r="BE163" s="262" t="s">
        <v>193</v>
      </c>
      <c r="BG163" s="174" t="s">
        <v>309</v>
      </c>
      <c r="BI163" s="174" t="s">
        <v>310</v>
      </c>
      <c r="BJ163" s="174" t="s">
        <v>310</v>
      </c>
      <c r="BK163" s="174" t="s">
        <v>231</v>
      </c>
      <c r="BL163" s="61" t="s">
        <v>311</v>
      </c>
      <c r="BM163" s="61" t="s">
        <v>311</v>
      </c>
      <c r="BN163" s="61" t="s">
        <v>221</v>
      </c>
      <c r="BO163" s="174" t="s">
        <v>312</v>
      </c>
      <c r="BP163" s="174" t="s">
        <v>313</v>
      </c>
      <c r="BQ163" s="174" t="s">
        <v>314</v>
      </c>
      <c r="BR163" s="262" t="s">
        <v>315</v>
      </c>
      <c r="BS163" s="282" t="s">
        <v>316</v>
      </c>
      <c r="BT163" s="282" t="s">
        <v>317</v>
      </c>
      <c r="BU163" s="61" t="s">
        <v>318</v>
      </c>
      <c r="BV163" s="318" t="s">
        <v>319</v>
      </c>
      <c r="BW163" s="262" t="s">
        <v>320</v>
      </c>
      <c r="BX163" s="334" t="s">
        <v>319</v>
      </c>
      <c r="BY163" s="24" t="s">
        <v>321</v>
      </c>
    </row>
    <row r="164" spans="6:77" s="24" customFormat="1" ht="13" hidden="1">
      <c r="F164" s="25"/>
      <c r="G164" s="25"/>
      <c r="H164" s="25"/>
      <c r="I164" s="25"/>
      <c r="J164" s="25"/>
      <c r="K164" s="25"/>
      <c r="L164" s="25"/>
      <c r="M164" s="25"/>
      <c r="N164" s="25"/>
      <c r="O164" s="25"/>
      <c r="P164" s="25"/>
      <c r="Q164" s="25"/>
      <c r="R164" s="25"/>
      <c r="S164" s="25"/>
      <c r="T164" s="25"/>
      <c r="U164" s="25"/>
      <c r="V164" s="25"/>
      <c r="X164" s="25"/>
      <c r="Y164" s="25"/>
      <c r="Z164" s="25"/>
      <c r="AA164" s="25"/>
      <c r="AB164" s="26"/>
      <c r="AC164" s="61"/>
      <c r="AD164" s="61"/>
      <c r="AE164" s="307" t="s">
        <v>322</v>
      </c>
      <c r="AF164" s="310" t="s">
        <v>44</v>
      </c>
      <c r="AG164" s="264">
        <v>20</v>
      </c>
      <c r="AH164" s="264">
        <v>50</v>
      </c>
      <c r="AI164" s="279">
        <v>14.92</v>
      </c>
      <c r="AJ164" s="279">
        <v>30</v>
      </c>
      <c r="AK164" s="197"/>
      <c r="AL164" s="88"/>
      <c r="AM164" s="197"/>
      <c r="AN164" s="313" t="s">
        <v>323</v>
      </c>
      <c r="AO164" s="314" t="s">
        <v>324</v>
      </c>
      <c r="AP164" s="265">
        <v>50</v>
      </c>
      <c r="AQ164" s="265">
        <v>11</v>
      </c>
      <c r="AR164" s="265">
        <v>12.9</v>
      </c>
      <c r="AS164" s="265"/>
      <c r="AT164" s="57"/>
      <c r="AU164" s="335" t="s">
        <v>287</v>
      </c>
      <c r="AV164" s="174" t="s">
        <v>162</v>
      </c>
      <c r="AW164" s="174" t="s">
        <v>162</v>
      </c>
      <c r="AX164" s="174" t="s">
        <v>160</v>
      </c>
      <c r="AY164" s="174" t="s">
        <v>160</v>
      </c>
      <c r="AZ164" s="257" t="s">
        <v>140</v>
      </c>
      <c r="BA164" s="257" t="s">
        <v>140</v>
      </c>
      <c r="BB164" s="174" t="s">
        <v>28</v>
      </c>
      <c r="BC164" s="263" t="s">
        <v>235</v>
      </c>
      <c r="BD164" s="174" t="s">
        <v>204</v>
      </c>
      <c r="BE164" s="262" t="s">
        <v>28</v>
      </c>
      <c r="BG164" s="174" t="s">
        <v>325</v>
      </c>
      <c r="BI164" s="174" t="s">
        <v>326</v>
      </c>
      <c r="BJ164" s="174" t="s">
        <v>326</v>
      </c>
      <c r="BK164" s="174" t="s">
        <v>232</v>
      </c>
      <c r="BL164" s="61" t="s">
        <v>327</v>
      </c>
      <c r="BM164" s="61" t="s">
        <v>327</v>
      </c>
      <c r="BN164" s="61" t="s">
        <v>201</v>
      </c>
      <c r="BO164" s="174" t="s">
        <v>328</v>
      </c>
      <c r="BP164" s="174" t="s">
        <v>329</v>
      </c>
      <c r="BQ164" s="174" t="s">
        <v>330</v>
      </c>
      <c r="BR164" s="262" t="s">
        <v>331</v>
      </c>
      <c r="BS164" s="282" t="s">
        <v>332</v>
      </c>
      <c r="BT164" s="282" t="s">
        <v>333</v>
      </c>
      <c r="BU164" s="61" t="s">
        <v>334</v>
      </c>
      <c r="BV164" s="318" t="s">
        <v>335</v>
      </c>
      <c r="BW164" s="262" t="s">
        <v>336</v>
      </c>
      <c r="BX164" s="334" t="s">
        <v>335</v>
      </c>
      <c r="BY164" s="24" t="s">
        <v>337</v>
      </c>
    </row>
    <row r="165" spans="6:77" s="24" customFormat="1" ht="13" hidden="1">
      <c r="F165" s="25"/>
      <c r="G165" s="25"/>
      <c r="H165" s="25"/>
      <c r="I165" s="25"/>
      <c r="J165" s="25"/>
      <c r="K165" s="25"/>
      <c r="L165" s="25"/>
      <c r="M165" s="25"/>
      <c r="N165" s="25"/>
      <c r="O165" s="25"/>
      <c r="P165" s="25"/>
      <c r="Q165" s="25"/>
      <c r="R165" s="25"/>
      <c r="S165" s="25"/>
      <c r="T165" s="25"/>
      <c r="U165" s="25"/>
      <c r="V165" s="25"/>
      <c r="X165" s="25"/>
      <c r="Y165" s="25"/>
      <c r="Z165" s="25"/>
      <c r="AA165" s="25"/>
      <c r="AB165" s="26"/>
      <c r="AC165" s="61"/>
      <c r="AD165" s="61"/>
      <c r="AE165" s="311" t="s">
        <v>338</v>
      </c>
      <c r="AF165" s="310" t="s">
        <v>46</v>
      </c>
      <c r="AG165" s="264">
        <v>20</v>
      </c>
      <c r="AH165" s="264">
        <v>50</v>
      </c>
      <c r="AI165" s="279">
        <v>13.8</v>
      </c>
      <c r="AJ165" s="279">
        <v>30</v>
      </c>
      <c r="AK165" s="197"/>
      <c r="AL165" s="88"/>
      <c r="AM165" s="197"/>
      <c r="AN165" s="313" t="s">
        <v>339</v>
      </c>
      <c r="AO165" s="314" t="s">
        <v>340</v>
      </c>
      <c r="AP165" s="265">
        <v>50</v>
      </c>
      <c r="AQ165" s="265">
        <v>10</v>
      </c>
      <c r="AR165" s="265">
        <v>11.6</v>
      </c>
      <c r="AS165" s="265"/>
      <c r="AT165" s="57"/>
      <c r="AU165" s="335" t="s">
        <v>288</v>
      </c>
      <c r="AV165" s="174" t="s">
        <v>170</v>
      </c>
      <c r="AW165" s="174" t="s">
        <v>170</v>
      </c>
      <c r="AX165" s="174" t="s">
        <v>164</v>
      </c>
      <c r="AY165" s="174" t="s">
        <v>164</v>
      </c>
      <c r="AZ165" s="257" t="s">
        <v>147</v>
      </c>
      <c r="BA165" s="257" t="s">
        <v>147</v>
      </c>
      <c r="BB165" s="174" t="s">
        <v>29</v>
      </c>
      <c r="BC165" s="263" t="s">
        <v>28</v>
      </c>
      <c r="BD165" s="174"/>
      <c r="BE165" s="262" t="s">
        <v>249</v>
      </c>
      <c r="BG165" s="61"/>
      <c r="BI165" s="174" t="s">
        <v>341</v>
      </c>
      <c r="BJ165" s="174" t="s">
        <v>341</v>
      </c>
      <c r="BK165" s="174" t="s">
        <v>233</v>
      </c>
      <c r="BL165" s="61" t="s">
        <v>342</v>
      </c>
      <c r="BM165" s="61" t="s">
        <v>342</v>
      </c>
      <c r="BN165" s="61" t="s">
        <v>343</v>
      </c>
      <c r="BO165" s="61"/>
      <c r="BP165" s="174" t="s">
        <v>344</v>
      </c>
      <c r="BQ165" s="174" t="s">
        <v>345</v>
      </c>
      <c r="BR165" s="262" t="s">
        <v>346</v>
      </c>
      <c r="BS165" s="50"/>
      <c r="BT165" s="282" t="s">
        <v>347</v>
      </c>
      <c r="BV165" s="318" t="s">
        <v>348</v>
      </c>
      <c r="BX165" s="334" t="s">
        <v>348</v>
      </c>
    </row>
    <row r="166" spans="6:77" s="24" customFormat="1" ht="13" hidden="1">
      <c r="F166" s="25"/>
      <c r="G166" s="25"/>
      <c r="H166" s="25"/>
      <c r="I166" s="25"/>
      <c r="J166" s="25"/>
      <c r="K166" s="25"/>
      <c r="L166" s="25"/>
      <c r="M166" s="25"/>
      <c r="N166" s="25"/>
      <c r="O166" s="25"/>
      <c r="P166" s="25"/>
      <c r="Q166" s="25"/>
      <c r="R166" s="25"/>
      <c r="S166" s="25"/>
      <c r="T166" s="25"/>
      <c r="U166" s="25"/>
      <c r="V166" s="25"/>
      <c r="X166" s="25"/>
      <c r="Y166" s="25"/>
      <c r="Z166" s="25"/>
      <c r="AA166" s="25"/>
      <c r="AB166" s="26"/>
      <c r="AC166" s="61"/>
      <c r="AD166" s="61"/>
      <c r="AE166" s="307" t="s">
        <v>349</v>
      </c>
      <c r="AF166" s="310" t="s">
        <v>47</v>
      </c>
      <c r="AG166" s="264">
        <v>20</v>
      </c>
      <c r="AH166" s="264">
        <v>50</v>
      </c>
      <c r="AI166" s="279">
        <v>12.75</v>
      </c>
      <c r="AJ166" s="279">
        <v>30</v>
      </c>
      <c r="AK166" s="197"/>
      <c r="AL166" s="88"/>
      <c r="AM166" s="197"/>
      <c r="AN166" s="265" t="s">
        <v>350</v>
      </c>
      <c r="AO166" s="313" t="s">
        <v>351</v>
      </c>
      <c r="AP166" s="265">
        <v>50</v>
      </c>
      <c r="AQ166" s="265">
        <v>10.8</v>
      </c>
      <c r="AR166" s="265">
        <v>12.7</v>
      </c>
      <c r="AS166" s="265">
        <v>3.3</v>
      </c>
      <c r="AT166" s="57"/>
      <c r="AU166" s="335" t="s">
        <v>289</v>
      </c>
      <c r="AV166" s="174" t="s">
        <v>181</v>
      </c>
      <c r="AW166" s="174" t="s">
        <v>181</v>
      </c>
      <c r="AX166" s="174" t="s">
        <v>179</v>
      </c>
      <c r="AY166" s="174" t="s">
        <v>179</v>
      </c>
      <c r="AZ166" s="257" t="s">
        <v>153</v>
      </c>
      <c r="BA166" s="257" t="s">
        <v>153</v>
      </c>
      <c r="BB166" s="174" t="s">
        <v>30</v>
      </c>
      <c r="BC166" s="263" t="s">
        <v>236</v>
      </c>
      <c r="BD166" s="174"/>
      <c r="BE166" s="61"/>
      <c r="BG166" s="61"/>
      <c r="BI166" s="61"/>
      <c r="BJ166" s="61"/>
      <c r="BK166" s="61"/>
      <c r="BL166" s="59"/>
      <c r="BM166" s="50"/>
      <c r="BN166" s="50"/>
      <c r="BO166" s="61"/>
      <c r="BP166" s="174" t="s">
        <v>352</v>
      </c>
      <c r="BQ166" s="174" t="s">
        <v>353</v>
      </c>
      <c r="BR166" s="56"/>
      <c r="BS166" s="50"/>
      <c r="BT166" s="282" t="s">
        <v>354</v>
      </c>
      <c r="BV166" s="318" t="s">
        <v>355</v>
      </c>
      <c r="BW166" s="61"/>
      <c r="BX166" s="334" t="s">
        <v>355</v>
      </c>
    </row>
    <row r="167" spans="6:77" s="24" customFormat="1" ht="14" hidden="1">
      <c r="F167" s="25"/>
      <c r="G167" s="25"/>
      <c r="H167" s="25"/>
      <c r="I167" s="25"/>
      <c r="J167" s="25"/>
      <c r="K167" s="25"/>
      <c r="L167" s="25"/>
      <c r="M167" s="25"/>
      <c r="N167" s="25"/>
      <c r="O167" s="25"/>
      <c r="P167" s="25"/>
      <c r="Q167" s="25"/>
      <c r="R167" s="25"/>
      <c r="S167" s="25"/>
      <c r="T167" s="25"/>
      <c r="U167" s="25"/>
      <c r="V167" s="25"/>
      <c r="X167" s="25"/>
      <c r="Y167" s="25"/>
      <c r="Z167" s="25"/>
      <c r="AA167" s="25"/>
      <c r="AB167" s="26"/>
      <c r="AC167" s="61"/>
      <c r="AD167" s="61"/>
      <c r="AE167" s="307" t="s">
        <v>356</v>
      </c>
      <c r="AF167" s="310" t="s">
        <v>49</v>
      </c>
      <c r="AG167" s="264">
        <v>30</v>
      </c>
      <c r="AH167" s="307">
        <v>50</v>
      </c>
      <c r="AI167" s="279">
        <v>15.8</v>
      </c>
      <c r="AJ167" s="279">
        <v>30</v>
      </c>
      <c r="AK167" s="197"/>
      <c r="AL167" s="88"/>
      <c r="AM167" s="197"/>
      <c r="AN167" s="265" t="s">
        <v>357</v>
      </c>
      <c r="AO167" s="313" t="s">
        <v>358</v>
      </c>
      <c r="AP167" s="265">
        <v>50</v>
      </c>
      <c r="AQ167" s="265">
        <v>10.4</v>
      </c>
      <c r="AR167" s="265">
        <v>12.1</v>
      </c>
      <c r="AS167" s="265">
        <v>3.2</v>
      </c>
      <c r="AT167" s="57"/>
      <c r="AU167" s="335" t="s">
        <v>290</v>
      </c>
      <c r="AV167" s="174" t="s">
        <v>187</v>
      </c>
      <c r="AW167" s="174" t="s">
        <v>187</v>
      </c>
      <c r="AX167" s="174" t="s">
        <v>185</v>
      </c>
      <c r="AY167" s="174" t="s">
        <v>185</v>
      </c>
      <c r="AZ167" s="257" t="s">
        <v>160</v>
      </c>
      <c r="BA167" s="257" t="s">
        <v>160</v>
      </c>
      <c r="BB167" s="174" t="s">
        <v>220</v>
      </c>
      <c r="BC167" s="263" t="s">
        <v>252</v>
      </c>
      <c r="BD167" s="174"/>
      <c r="BE167" s="61"/>
      <c r="BG167" s="61"/>
      <c r="BI167" s="61"/>
      <c r="BJ167" s="61"/>
      <c r="BK167" s="61"/>
      <c r="BL167" s="61"/>
      <c r="BM167" s="61"/>
      <c r="BN167" s="61"/>
      <c r="BO167" s="61"/>
      <c r="BP167" s="174" t="s">
        <v>359</v>
      </c>
      <c r="BQ167" s="61"/>
      <c r="BR167" s="56"/>
      <c r="BS167" s="50"/>
      <c r="BT167" s="282" t="s">
        <v>360</v>
      </c>
      <c r="BV167" s="318" t="s">
        <v>361</v>
      </c>
      <c r="BW167" s="61"/>
      <c r="BX167" s="334" t="s">
        <v>361</v>
      </c>
    </row>
    <row r="168" spans="6:77" s="24" customFormat="1" hidden="1">
      <c r="F168" s="25"/>
      <c r="G168" s="25"/>
      <c r="H168" s="25"/>
      <c r="I168" s="25"/>
      <c r="J168" s="25"/>
      <c r="K168" s="25"/>
      <c r="L168" s="25"/>
      <c r="M168" s="25"/>
      <c r="N168" s="25"/>
      <c r="O168" s="25"/>
      <c r="P168" s="25"/>
      <c r="Q168" s="25"/>
      <c r="R168" s="25"/>
      <c r="S168" s="25"/>
      <c r="T168" s="25"/>
      <c r="U168" s="25"/>
      <c r="V168" s="25"/>
      <c r="X168" s="25"/>
      <c r="Y168" s="25"/>
      <c r="Z168" s="25"/>
      <c r="AA168" s="25"/>
      <c r="AB168" s="26"/>
      <c r="AC168" s="61"/>
      <c r="AD168" s="61"/>
      <c r="AE168" s="307" t="s">
        <v>362</v>
      </c>
      <c r="AF168" s="310" t="s">
        <v>50</v>
      </c>
      <c r="AG168" s="264">
        <v>20</v>
      </c>
      <c r="AH168" s="264">
        <v>50</v>
      </c>
      <c r="AI168" s="279">
        <v>14.7</v>
      </c>
      <c r="AJ168" s="279">
        <v>30</v>
      </c>
      <c r="AK168" s="197"/>
      <c r="AL168" s="88"/>
      <c r="AM168" s="197"/>
      <c r="AN168" s="265" t="s">
        <v>363</v>
      </c>
      <c r="AO168" s="313" t="s">
        <v>364</v>
      </c>
      <c r="AP168" s="265">
        <v>50</v>
      </c>
      <c r="AQ168" s="265">
        <v>9.3000000000000007</v>
      </c>
      <c r="AR168" s="265">
        <v>10.8</v>
      </c>
      <c r="AS168" s="265">
        <v>3.2</v>
      </c>
      <c r="AT168" s="84"/>
      <c r="AU168" s="335" t="s">
        <v>291</v>
      </c>
      <c r="AV168" s="174" t="s">
        <v>191</v>
      </c>
      <c r="AW168" s="174" t="s">
        <v>191</v>
      </c>
      <c r="AX168" s="174" t="s">
        <v>189</v>
      </c>
      <c r="AY168" s="174" t="s">
        <v>189</v>
      </c>
      <c r="AZ168" s="257" t="s">
        <v>164</v>
      </c>
      <c r="BA168" s="257" t="s">
        <v>164</v>
      </c>
      <c r="BB168" s="174"/>
      <c r="BC168" s="174"/>
      <c r="BD168" s="174"/>
      <c r="BE168" s="61"/>
      <c r="BG168" s="61"/>
      <c r="BI168" s="61"/>
      <c r="BJ168" s="61"/>
      <c r="BK168" s="61"/>
      <c r="BL168" s="61"/>
      <c r="BM168" s="61"/>
      <c r="BN168" s="61"/>
      <c r="BO168" s="61"/>
      <c r="BP168" s="174" t="s">
        <v>365</v>
      </c>
      <c r="BQ168" s="61"/>
      <c r="BR168" s="56"/>
      <c r="BS168" s="56"/>
      <c r="BT168" s="56"/>
      <c r="BV168" s="318" t="s">
        <v>366</v>
      </c>
      <c r="BW168" s="61"/>
      <c r="BX168" s="334" t="s">
        <v>366</v>
      </c>
    </row>
    <row r="169" spans="6:77" s="24" customFormat="1" hidden="1">
      <c r="AB169" s="26"/>
      <c r="AC169" s="61"/>
      <c r="AD169" s="61"/>
      <c r="AE169" s="307" t="s">
        <v>367</v>
      </c>
      <c r="AF169" s="310" t="s">
        <v>51</v>
      </c>
      <c r="AG169" s="264">
        <v>20</v>
      </c>
      <c r="AH169" s="264">
        <v>50</v>
      </c>
      <c r="AI169" s="279">
        <v>15.2</v>
      </c>
      <c r="AJ169" s="279">
        <v>30</v>
      </c>
      <c r="AK169" s="197"/>
      <c r="AL169" s="88"/>
      <c r="AM169" s="197"/>
      <c r="AN169" s="265" t="s">
        <v>368</v>
      </c>
      <c r="AO169" s="313" t="s">
        <v>369</v>
      </c>
      <c r="AP169" s="265">
        <v>50</v>
      </c>
      <c r="AQ169" s="265">
        <v>11</v>
      </c>
      <c r="AR169" s="265">
        <v>12.9</v>
      </c>
      <c r="AS169" s="265">
        <v>3.3</v>
      </c>
      <c r="AT169" s="84"/>
      <c r="AU169" s="51" t="s">
        <v>242</v>
      </c>
      <c r="AV169" s="174"/>
      <c r="AW169" s="174"/>
      <c r="AX169" s="174" t="s">
        <v>226</v>
      </c>
      <c r="AY169" s="174" t="s">
        <v>226</v>
      </c>
      <c r="AZ169" s="257" t="s">
        <v>179</v>
      </c>
      <c r="BA169" s="257" t="s">
        <v>179</v>
      </c>
      <c r="BB169" s="174"/>
      <c r="BC169" s="174"/>
      <c r="BD169" s="174"/>
      <c r="BE169" s="61"/>
      <c r="BG169" s="61"/>
      <c r="BI169" s="61"/>
      <c r="BJ169" s="61"/>
      <c r="BK169" s="61"/>
      <c r="BL169" s="61"/>
      <c r="BM169" s="61"/>
      <c r="BN169" s="61"/>
      <c r="BO169" s="61"/>
      <c r="BP169" s="174" t="s">
        <v>370</v>
      </c>
      <c r="BQ169" s="61"/>
      <c r="BR169" s="56"/>
      <c r="BS169" s="56"/>
      <c r="BT169" s="56"/>
      <c r="BV169" s="318" t="s">
        <v>371</v>
      </c>
      <c r="BW169" s="61"/>
      <c r="BX169" s="334" t="s">
        <v>371</v>
      </c>
    </row>
    <row r="170" spans="6:77" s="24" customFormat="1" hidden="1">
      <c r="AB170" s="26"/>
      <c r="AC170" s="61"/>
      <c r="AD170" s="174" t="s">
        <v>372</v>
      </c>
      <c r="AE170" s="269" t="s">
        <v>180</v>
      </c>
      <c r="AF170" s="280" t="str">
        <f>_xlfn.CONCAT(ROUND(AJ170,3)," IPLV")</f>
        <v>0.396 IPLV</v>
      </c>
      <c r="AG170" s="264">
        <v>10</v>
      </c>
      <c r="AH170" s="264">
        <v>300</v>
      </c>
      <c r="AI170" s="172">
        <v>0.2</v>
      </c>
      <c r="AJ170" s="278" cm="1">
        <f t="array" ref="AJ170">MAX(IF($AO$193:$AO$216=AE170,$AT$193:$AT$216))</f>
        <v>0.39600000000000002</v>
      </c>
      <c r="AK170" s="300">
        <f t="shared" ref="AK170:AK181" si="56">AY59</f>
        <v>62.314182689999996</v>
      </c>
      <c r="AL170" s="274" cm="1">
        <f t="array" ref="AL170">MIN(IF($AO$193:$AO$216=AE170,$AU$193:$AU$216))</f>
        <v>0.374</v>
      </c>
      <c r="AM170" s="300">
        <f t="shared" ref="AM170:AM181" si="57">AZ59</f>
        <v>116.98269232499999</v>
      </c>
      <c r="AN170" s="265" t="s">
        <v>373</v>
      </c>
      <c r="AO170" s="313" t="s">
        <v>374</v>
      </c>
      <c r="AP170" s="265">
        <v>50</v>
      </c>
      <c r="AQ170" s="265">
        <v>10.6</v>
      </c>
      <c r="AR170" s="265">
        <v>12.3</v>
      </c>
      <c r="AS170" s="265">
        <v>3.2</v>
      </c>
      <c r="AT170" s="84"/>
      <c r="AU170" s="51" t="s">
        <v>292</v>
      </c>
      <c r="AV170" s="174"/>
      <c r="AW170" s="174"/>
      <c r="AX170" s="174" t="s">
        <v>224</v>
      </c>
      <c r="AY170" s="174" t="s">
        <v>224</v>
      </c>
      <c r="AZ170" s="257" t="s">
        <v>185</v>
      </c>
      <c r="BA170" s="257" t="s">
        <v>185</v>
      </c>
      <c r="BB170" s="174"/>
      <c r="BC170" s="174"/>
      <c r="BD170" s="174"/>
      <c r="BE170" s="61"/>
      <c r="BG170" s="61"/>
      <c r="BI170" s="61"/>
      <c r="BJ170" s="61"/>
      <c r="BK170" s="61"/>
      <c r="BL170" s="61"/>
      <c r="BM170" s="61"/>
      <c r="BN170" s="61"/>
      <c r="BO170" s="61"/>
      <c r="BP170" s="174" t="s">
        <v>375</v>
      </c>
      <c r="BQ170" s="61"/>
      <c r="BR170" s="56"/>
      <c r="BS170" s="56"/>
      <c r="BT170" s="56"/>
      <c r="BV170" s="318" t="s">
        <v>376</v>
      </c>
      <c r="BW170" s="61"/>
      <c r="BX170" s="334" t="s">
        <v>376</v>
      </c>
    </row>
    <row r="171" spans="6:77" s="24" customFormat="1" hidden="1">
      <c r="AB171" s="26"/>
      <c r="AC171" s="61"/>
      <c r="AD171" s="174" t="s">
        <v>372</v>
      </c>
      <c r="AE171" s="269" t="s">
        <v>184</v>
      </c>
      <c r="AF171" s="280" t="str">
        <f t="shared" ref="AF171:AF181" si="58">_xlfn.CONCAT(ROUND(AJ171,3)," IPLV")</f>
        <v>0.36 IPLV</v>
      </c>
      <c r="AG171" s="264">
        <v>10</v>
      </c>
      <c r="AH171" s="264">
        <v>300</v>
      </c>
      <c r="AI171" s="172">
        <v>0.2</v>
      </c>
      <c r="AJ171" s="278" cm="1">
        <f t="array" ref="AJ171">MAX(IF($AO$193:$AO$216=AE171,$AT$193:$AT$216))</f>
        <v>0.36000000000000004</v>
      </c>
      <c r="AK171" s="300">
        <f t="shared" si="56"/>
        <v>46.174413465000001</v>
      </c>
      <c r="AL171" s="274" cm="1">
        <f t="array" ref="AL171">MIN(IF($AO$193:$AO$216=AE171,$AU$193:$AU$216))</f>
        <v>0.34</v>
      </c>
      <c r="AM171" s="300">
        <f t="shared" si="57"/>
        <v>79.288161075000005</v>
      </c>
      <c r="AN171" s="265" t="s">
        <v>377</v>
      </c>
      <c r="AO171" s="313" t="s">
        <v>378</v>
      </c>
      <c r="AP171" s="265">
        <v>50</v>
      </c>
      <c r="AQ171" s="265">
        <v>9.5</v>
      </c>
      <c r="AR171" s="265">
        <v>11</v>
      </c>
      <c r="AS171" s="265">
        <v>3.2</v>
      </c>
      <c r="AT171" s="84"/>
      <c r="AU171" s="51" t="s">
        <v>245</v>
      </c>
      <c r="AV171" s="174"/>
      <c r="AW171" s="174"/>
      <c r="AX171" s="174" t="s">
        <v>225</v>
      </c>
      <c r="AY171" s="174" t="s">
        <v>210</v>
      </c>
      <c r="AZ171" s="257" t="s">
        <v>189</v>
      </c>
      <c r="BA171" s="257" t="s">
        <v>189</v>
      </c>
      <c r="BB171" s="174"/>
      <c r="BC171" s="174"/>
      <c r="BD171" s="174"/>
      <c r="BE171" s="61"/>
      <c r="BG171" s="61"/>
      <c r="BI171" s="61"/>
      <c r="BJ171" s="61"/>
      <c r="BK171" s="61"/>
      <c r="BL171" s="61"/>
      <c r="BO171" s="61"/>
      <c r="BP171" s="174" t="s">
        <v>379</v>
      </c>
      <c r="BQ171" s="61"/>
      <c r="BR171" s="56"/>
      <c r="BS171" s="56"/>
      <c r="BT171" s="56"/>
      <c r="BV171" s="318" t="s">
        <v>380</v>
      </c>
      <c r="BW171" s="61"/>
      <c r="BX171" s="334" t="s">
        <v>380</v>
      </c>
    </row>
    <row r="172" spans="6:77" s="24" customFormat="1" hidden="1">
      <c r="AB172" s="26"/>
      <c r="AC172" s="61"/>
      <c r="AD172" s="174" t="s">
        <v>372</v>
      </c>
      <c r="AE172" s="269" t="s">
        <v>186</v>
      </c>
      <c r="AF172" s="280" t="str">
        <f t="shared" si="58"/>
        <v>0.351 IPLV</v>
      </c>
      <c r="AG172" s="264">
        <v>10</v>
      </c>
      <c r="AH172" s="264">
        <v>300</v>
      </c>
      <c r="AI172" s="172">
        <v>0.2</v>
      </c>
      <c r="AJ172" s="278" cm="1">
        <f t="array" ref="AJ172">MAX(IF($AO$193:$AO$216=AE172,$AT$193:$AT$216))</f>
        <v>0.35100000000000003</v>
      </c>
      <c r="AK172" s="300">
        <f t="shared" si="56"/>
        <v>46.061749657500002</v>
      </c>
      <c r="AL172" s="274" cm="1">
        <f t="array" ref="AL172">MIN(IF($AO$193:$AO$216=AE172,$AU$193:$AU$216))</f>
        <v>0.33150000000000002</v>
      </c>
      <c r="AM172" s="300">
        <f t="shared" si="57"/>
        <v>67.820115037500003</v>
      </c>
      <c r="AN172" s="265" t="s">
        <v>381</v>
      </c>
      <c r="AO172" s="313" t="s">
        <v>382</v>
      </c>
      <c r="AP172" s="265">
        <v>50</v>
      </c>
      <c r="AQ172" s="265">
        <v>11.8</v>
      </c>
      <c r="AR172" s="265"/>
      <c r="AS172" s="265">
        <v>4.2</v>
      </c>
      <c r="AT172" s="84"/>
      <c r="AU172" s="61" t="s">
        <v>383</v>
      </c>
      <c r="AV172" s="174"/>
      <c r="AW172" s="174"/>
      <c r="AX172" s="174" t="s">
        <v>222</v>
      </c>
      <c r="AY172" s="257"/>
      <c r="AZ172" s="257"/>
      <c r="BA172" s="257"/>
      <c r="BB172" s="174"/>
      <c r="BC172" s="174"/>
      <c r="BD172" s="174"/>
      <c r="BE172" s="61"/>
      <c r="BG172" s="61"/>
      <c r="BI172" s="61"/>
      <c r="BJ172" s="61"/>
      <c r="BK172" s="61"/>
      <c r="BL172" s="61"/>
      <c r="BO172" s="61"/>
      <c r="BP172" s="174" t="s">
        <v>384</v>
      </c>
      <c r="BQ172" s="61"/>
      <c r="BR172" s="56"/>
      <c r="BS172" s="56"/>
      <c r="BT172" s="56"/>
      <c r="BV172" s="318" t="s">
        <v>385</v>
      </c>
      <c r="BW172" s="61"/>
      <c r="BX172" s="334" t="s">
        <v>385</v>
      </c>
    </row>
    <row r="173" spans="6:77" s="24" customFormat="1" hidden="1">
      <c r="AB173" s="26"/>
      <c r="AC173" s="61"/>
      <c r="AD173" s="174" t="s">
        <v>372</v>
      </c>
      <c r="AE173" s="269" t="s">
        <v>188</v>
      </c>
      <c r="AF173" s="280" t="str">
        <f t="shared" si="58"/>
        <v>0.342 IPLV</v>
      </c>
      <c r="AG173" s="264">
        <v>10</v>
      </c>
      <c r="AH173" s="264">
        <v>300</v>
      </c>
      <c r="AI173" s="172">
        <v>0.2</v>
      </c>
      <c r="AJ173" s="278" cm="1">
        <f t="array" ref="AJ173">MAX(IF($AO$193:$AO$216=AE173,$AT$193:$AT$216))</f>
        <v>0.34200000000000003</v>
      </c>
      <c r="AK173" s="300">
        <f t="shared" si="56"/>
        <v>32.212389705</v>
      </c>
      <c r="AL173" s="274" cm="1">
        <f t="array" ref="AL173">MIN(IF($AO$193:$AO$216=AE173,$AU$193:$AU$216))</f>
        <v>0.32300000000000001</v>
      </c>
      <c r="AM173" s="300">
        <f t="shared" si="57"/>
        <v>70.683686370000004</v>
      </c>
      <c r="AN173" s="265" t="s">
        <v>386</v>
      </c>
      <c r="AO173" s="313" t="s">
        <v>387</v>
      </c>
      <c r="AP173" s="265">
        <v>50</v>
      </c>
      <c r="AQ173" s="265">
        <v>9.8000000000000007</v>
      </c>
      <c r="AR173" s="265"/>
      <c r="AS173" s="265">
        <v>3.9</v>
      </c>
      <c r="AT173" s="84"/>
      <c r="AU173" s="61" t="s">
        <v>388</v>
      </c>
      <c r="AV173" s="61"/>
      <c r="AW173" s="61"/>
      <c r="AX173" s="61"/>
      <c r="AY173" s="61"/>
      <c r="BB173" s="61"/>
      <c r="BC173" s="61"/>
      <c r="BD173" s="61"/>
      <c r="BE173" s="61"/>
      <c r="BG173" s="61"/>
      <c r="BI173" s="61"/>
      <c r="BJ173" s="61"/>
      <c r="BK173" s="61"/>
      <c r="BL173" s="61"/>
      <c r="BO173" s="61"/>
      <c r="BP173" s="174" t="s">
        <v>389</v>
      </c>
      <c r="BQ173" s="61"/>
      <c r="BR173" s="56"/>
      <c r="BS173" s="56"/>
      <c r="BT173" s="56"/>
      <c r="BV173" s="318" t="s">
        <v>390</v>
      </c>
      <c r="BW173" s="61"/>
      <c r="BX173" s="334" t="s">
        <v>390</v>
      </c>
    </row>
    <row r="174" spans="6:77" s="24" customFormat="1" hidden="1">
      <c r="AB174" s="26"/>
      <c r="AC174" s="79"/>
      <c r="AD174" s="174" t="s">
        <v>372</v>
      </c>
      <c r="AE174" s="269" t="s">
        <v>190</v>
      </c>
      <c r="AF174" s="280" t="str">
        <f t="shared" si="58"/>
        <v>0.342 IPLV</v>
      </c>
      <c r="AG174" s="264">
        <v>10</v>
      </c>
      <c r="AH174" s="264">
        <v>300</v>
      </c>
      <c r="AI174" s="172">
        <v>0.2</v>
      </c>
      <c r="AJ174" s="278" cm="1">
        <f t="array" ref="AJ174">MAX(IF($AO$193:$AO$216=AE174,$AT$193:$AT$216))</f>
        <v>0.34200000000000003</v>
      </c>
      <c r="AK174" s="300">
        <f t="shared" si="56"/>
        <v>19.743144232500001</v>
      </c>
      <c r="AL174" s="274" cm="1">
        <f t="array" ref="AL174">MIN(IF($AO$193:$AO$216=AE174,$AU$193:$AU$216))</f>
        <v>0.32300000000000001</v>
      </c>
      <c r="AM174" s="300">
        <f t="shared" si="57"/>
        <v>56.135704327500001</v>
      </c>
      <c r="AN174" s="265" t="s">
        <v>391</v>
      </c>
      <c r="AO174" s="313" t="s">
        <v>387</v>
      </c>
      <c r="AP174" s="265">
        <v>50</v>
      </c>
      <c r="AQ174" s="265">
        <v>9.8000000000000007</v>
      </c>
      <c r="AR174" s="265"/>
      <c r="AS174" s="265">
        <v>3.9</v>
      </c>
      <c r="AT174" s="84"/>
      <c r="AU174" s="100" t="s">
        <v>293</v>
      </c>
      <c r="AV174" s="61"/>
      <c r="AW174" s="61"/>
      <c r="AX174" s="61"/>
      <c r="AY174" s="61"/>
      <c r="BB174" s="61"/>
      <c r="BC174" s="61"/>
      <c r="BD174" s="61"/>
      <c r="BE174" s="61"/>
      <c r="BG174" s="61"/>
      <c r="BI174" s="61"/>
      <c r="BJ174" s="61"/>
      <c r="BK174" s="61"/>
      <c r="BL174" s="61"/>
      <c r="BO174" s="61"/>
      <c r="BP174" s="174" t="s">
        <v>392</v>
      </c>
      <c r="BQ174" s="61"/>
      <c r="BR174" s="56"/>
      <c r="BS174" s="56"/>
      <c r="BT174" s="56"/>
      <c r="BV174" s="318" t="s">
        <v>393</v>
      </c>
      <c r="BW174" s="61"/>
      <c r="BX174" s="334" t="s">
        <v>393</v>
      </c>
    </row>
    <row r="175" spans="6:77" s="24" customFormat="1" hidden="1">
      <c r="AB175" s="26"/>
      <c r="AC175" s="79"/>
      <c r="AD175" s="174" t="s">
        <v>372</v>
      </c>
      <c r="AE175" s="269" t="s">
        <v>192</v>
      </c>
      <c r="AF175" s="280" t="str">
        <f t="shared" si="58"/>
        <v>0.45 IPLV</v>
      </c>
      <c r="AG175" s="264">
        <v>10</v>
      </c>
      <c r="AH175" s="264">
        <v>300</v>
      </c>
      <c r="AI175" s="172">
        <v>0.2</v>
      </c>
      <c r="AJ175" s="278" cm="1">
        <f t="array" ref="AJ175">MAX(IF($AO$193:$AO$216=AE175,$AT$193:$AT$216))</f>
        <v>0.45</v>
      </c>
      <c r="AK175" s="300">
        <f t="shared" si="56"/>
        <v>76.043083574999997</v>
      </c>
      <c r="AL175" s="274" cm="1">
        <f t="array" ref="AL175">MIN(IF($AO$193:$AO$216=AE175,$AU$193:$AU$216))</f>
        <v>0.42499999999999999</v>
      </c>
      <c r="AM175" s="300">
        <f t="shared" si="57"/>
        <v>139.063833225</v>
      </c>
      <c r="AN175" s="265" t="s">
        <v>394</v>
      </c>
      <c r="AO175" s="313" t="s">
        <v>395</v>
      </c>
      <c r="AP175" s="265">
        <v>50</v>
      </c>
      <c r="AQ175" s="265">
        <v>12</v>
      </c>
      <c r="AR175" s="265"/>
      <c r="AS175" s="265">
        <v>4.2</v>
      </c>
      <c r="AT175" s="84"/>
      <c r="AU175" s="100" t="s">
        <v>396</v>
      </c>
      <c r="AV175" s="61"/>
      <c r="AW175" s="61"/>
      <c r="AX175" s="61"/>
      <c r="AY175" s="61"/>
      <c r="BB175" s="61"/>
      <c r="BC175" s="102"/>
      <c r="BD175" s="102"/>
      <c r="BE175" s="103"/>
      <c r="BF175" s="103"/>
      <c r="BG175" s="103"/>
      <c r="BH175" s="68"/>
      <c r="BI175" s="61"/>
      <c r="BJ175" s="59"/>
      <c r="BK175" s="50"/>
      <c r="BL175" s="50"/>
      <c r="BO175" s="61"/>
      <c r="BP175" s="174" t="s">
        <v>397</v>
      </c>
      <c r="BQ175" s="61"/>
      <c r="BR175" s="56"/>
      <c r="BS175" s="56"/>
      <c r="BT175" s="56"/>
      <c r="BV175" s="318" t="s">
        <v>398</v>
      </c>
      <c r="BX175" s="334" t="s">
        <v>398</v>
      </c>
    </row>
    <row r="176" spans="6:77" s="24" customFormat="1" ht="37.5" hidden="1">
      <c r="AB176" s="26"/>
      <c r="AC176" s="79"/>
      <c r="AD176" s="174" t="s">
        <v>372</v>
      </c>
      <c r="AE176" s="269" t="s">
        <v>194</v>
      </c>
      <c r="AF176" s="280" t="str">
        <f t="shared" si="58"/>
        <v>0.441 IPLV</v>
      </c>
      <c r="AG176" s="264">
        <v>10</v>
      </c>
      <c r="AH176" s="264">
        <v>300</v>
      </c>
      <c r="AI176" s="172">
        <v>0.2</v>
      </c>
      <c r="AJ176" s="278" cm="1">
        <f t="array" ref="AJ176">MAX(IF($AO$193:$AO$216=AE176,$AT$193:$AT$216))</f>
        <v>0.441</v>
      </c>
      <c r="AK176" s="300">
        <f t="shared" si="56"/>
        <v>67.544898480000001</v>
      </c>
      <c r="AL176" s="274" cm="1">
        <f t="array" ref="AL176">MIN(IF($AO$193:$AO$216=AE176,$AU$193:$AU$216))</f>
        <v>0.41649999999999998</v>
      </c>
      <c r="AM176" s="300">
        <f t="shared" si="57"/>
        <v>115.18788577500001</v>
      </c>
      <c r="AN176" s="265" t="s">
        <v>399</v>
      </c>
      <c r="AO176" s="313" t="s">
        <v>400</v>
      </c>
      <c r="AP176" s="265">
        <v>50</v>
      </c>
      <c r="AQ176" s="265">
        <v>10</v>
      </c>
      <c r="AR176" s="265"/>
      <c r="AS176" s="265">
        <v>3.9</v>
      </c>
      <c r="AT176" s="84"/>
      <c r="AU176" s="51" t="s">
        <v>299</v>
      </c>
      <c r="AV176" s="104" t="s">
        <v>101</v>
      </c>
      <c r="AW176" s="105"/>
      <c r="AX176" s="105"/>
      <c r="AY176" s="105"/>
      <c r="AZ176" s="105"/>
      <c r="BA176" s="106"/>
      <c r="BB176" s="106"/>
      <c r="BC176" s="106"/>
      <c r="BD176" s="106"/>
      <c r="BE176" s="106"/>
      <c r="BF176" s="106"/>
      <c r="BG176" s="106"/>
      <c r="BH176" s="106"/>
      <c r="BI176" s="107"/>
      <c r="BJ176" s="107"/>
      <c r="BK176" s="107"/>
      <c r="BL176" s="108"/>
      <c r="BO176" s="68"/>
      <c r="BP176" s="283" t="s">
        <v>401</v>
      </c>
      <c r="BQ176" s="61"/>
      <c r="BR176" s="59"/>
      <c r="BS176" s="50"/>
      <c r="BT176" s="50"/>
      <c r="BU176" s="61"/>
      <c r="BV176" s="318" t="s">
        <v>402</v>
      </c>
      <c r="BW176" s="61"/>
      <c r="BX176" s="349" t="s">
        <v>402</v>
      </c>
    </row>
    <row r="177" spans="1:257" s="24" customFormat="1" ht="23" hidden="1">
      <c r="AB177" s="26"/>
      <c r="AC177" s="79"/>
      <c r="AD177" s="174" t="s">
        <v>372</v>
      </c>
      <c r="AE177" s="269" t="s">
        <v>196</v>
      </c>
      <c r="AF177" s="280" t="str">
        <f>_xlfn.CONCAT(ROUND(AJ177,3)," IPLV")</f>
        <v>0.396 IPLV</v>
      </c>
      <c r="AG177" s="264">
        <v>10</v>
      </c>
      <c r="AH177" s="264">
        <v>300</v>
      </c>
      <c r="AI177" s="172">
        <v>0.2</v>
      </c>
      <c r="AJ177" s="278" cm="1">
        <f t="array" ref="AJ177">MAX(IF($AO$193:$AO$216=AE177,$AT$193:$AT$216))</f>
        <v>0.39600000000000002</v>
      </c>
      <c r="AK177" s="300">
        <f t="shared" si="56"/>
        <v>58.081138867500002</v>
      </c>
      <c r="AL177" s="274" cm="1">
        <f t="array" ref="AL177">MIN(IF($AO$193:$AO$216=AE177,$AU$193:$AU$216))</f>
        <v>0.374</v>
      </c>
      <c r="AM177" s="300">
        <f t="shared" si="57"/>
        <v>97.291347900000005</v>
      </c>
      <c r="AN177" s="265" t="s">
        <v>403</v>
      </c>
      <c r="AO177" s="313" t="s">
        <v>400</v>
      </c>
      <c r="AP177" s="265">
        <v>50</v>
      </c>
      <c r="AQ177" s="265">
        <v>10</v>
      </c>
      <c r="AR177" s="265"/>
      <c r="AS177" s="265">
        <v>3.9</v>
      </c>
      <c r="AT177" s="84"/>
      <c r="AU177" s="51" t="s">
        <v>404</v>
      </c>
      <c r="AV177" s="174" t="s">
        <v>153</v>
      </c>
      <c r="AW177" s="174" t="s">
        <v>160</v>
      </c>
      <c r="AX177" s="174" t="s">
        <v>164</v>
      </c>
      <c r="AY177" s="174" t="s">
        <v>179</v>
      </c>
      <c r="AZ177" s="174" t="s">
        <v>185</v>
      </c>
      <c r="BA177" s="174" t="s">
        <v>189</v>
      </c>
      <c r="BB177" s="174" t="s">
        <v>405</v>
      </c>
      <c r="BC177" s="174" t="s">
        <v>406</v>
      </c>
      <c r="BD177" s="174" t="s">
        <v>407</v>
      </c>
      <c r="BE177" s="174" t="s">
        <v>408</v>
      </c>
      <c r="BF177" s="174" t="s">
        <v>409</v>
      </c>
      <c r="BG177" s="174" t="s">
        <v>410</v>
      </c>
      <c r="BH177" s="109" t="s">
        <v>195</v>
      </c>
      <c r="BI177" s="109"/>
      <c r="BJ177" s="109" t="str">
        <f>BL163</f>
        <v>9,000_btu/h</v>
      </c>
      <c r="BK177" s="109" t="str">
        <f>BL164</f>
        <v>12,000_btu/h</v>
      </c>
      <c r="BL177" s="109" t="str">
        <f>BL165</f>
        <v>15,000_btu/h</v>
      </c>
      <c r="BO177" s="68"/>
      <c r="BP177" s="258"/>
      <c r="BQ177" s="61"/>
      <c r="BR177" s="59"/>
      <c r="BS177" s="50"/>
      <c r="BT177" s="50"/>
      <c r="BU177" s="56"/>
      <c r="BV177" s="318" t="s">
        <v>411</v>
      </c>
      <c r="BW177" s="56"/>
      <c r="BX177" s="349" t="s">
        <v>411</v>
      </c>
    </row>
    <row r="178" spans="1:257" s="24" customFormat="1" ht="23" hidden="1">
      <c r="AB178" s="26"/>
      <c r="AC178" s="79"/>
      <c r="AD178" s="174" t="s">
        <v>372</v>
      </c>
      <c r="AE178" s="269" t="s">
        <v>198</v>
      </c>
      <c r="AF178" s="280" t="str">
        <f t="shared" ref="AF178" si="59">_xlfn.CONCAT(ROUND(AJ178,3)," IPLV")</f>
        <v>0.369 IPLV</v>
      </c>
      <c r="AG178" s="264">
        <v>10</v>
      </c>
      <c r="AH178" s="264">
        <v>300</v>
      </c>
      <c r="AI178" s="172">
        <v>0.2</v>
      </c>
      <c r="AJ178" s="278" cm="1">
        <f t="array" ref="AJ178">MAX(IF($AO$193:$AO$216=AE178,$AT$193:$AT$216))</f>
        <v>0.36899999999999999</v>
      </c>
      <c r="AK178" s="300">
        <f t="shared" si="56"/>
        <v>47.651804730000002</v>
      </c>
      <c r="AL178" s="274" cm="1">
        <f t="array" ref="AL178">MIN(IF($AO$193:$AO$216=AE178,$AU$193:$AU$216))</f>
        <v>0.34849999999999998</v>
      </c>
      <c r="AM178" s="300">
        <f t="shared" si="57"/>
        <v>85.374219675000006</v>
      </c>
      <c r="AN178" s="265" t="s">
        <v>412</v>
      </c>
      <c r="AO178" s="313" t="s">
        <v>413</v>
      </c>
      <c r="AP178" s="265">
        <v>50</v>
      </c>
      <c r="AQ178" s="265">
        <v>16</v>
      </c>
      <c r="AR178" s="265"/>
      <c r="AS178" s="265">
        <v>3.6</v>
      </c>
      <c r="AT178" s="84"/>
      <c r="AV178" s="259" t="s">
        <v>414</v>
      </c>
      <c r="AW178" s="259" t="s">
        <v>414</v>
      </c>
      <c r="AX178" s="259" t="s">
        <v>414</v>
      </c>
      <c r="AY178" s="259" t="s">
        <v>414</v>
      </c>
      <c r="AZ178" s="259" t="s">
        <v>414</v>
      </c>
      <c r="BA178" s="259" t="s">
        <v>414</v>
      </c>
      <c r="BB178" s="259" t="s">
        <v>414</v>
      </c>
      <c r="BC178" s="259" t="s">
        <v>414</v>
      </c>
      <c r="BD178" s="259" t="s">
        <v>414</v>
      </c>
      <c r="BE178" s="259" t="s">
        <v>414</v>
      </c>
      <c r="BF178" s="259" t="s">
        <v>414</v>
      </c>
      <c r="BG178" s="259" t="s">
        <v>414</v>
      </c>
      <c r="BH178" s="103" t="s">
        <v>415</v>
      </c>
      <c r="BI178" s="103"/>
      <c r="BJ178" s="103"/>
      <c r="BK178" s="103"/>
      <c r="BL178" s="68"/>
      <c r="BO178" s="68"/>
      <c r="BP178" s="69"/>
      <c r="BQ178" s="61"/>
      <c r="BR178" s="59"/>
      <c r="BS178" s="50"/>
      <c r="BT178" s="50"/>
      <c r="BU178" s="56"/>
      <c r="BV178" s="318" t="s">
        <v>416</v>
      </c>
      <c r="BW178" s="56"/>
      <c r="BX178" s="349" t="s">
        <v>416</v>
      </c>
    </row>
    <row r="179" spans="1:257" s="24" customFormat="1" ht="23" hidden="1">
      <c r="AB179" s="26"/>
      <c r="AC179" s="79"/>
      <c r="AD179" s="174" t="s">
        <v>372</v>
      </c>
      <c r="AE179" s="269" t="s">
        <v>200</v>
      </c>
      <c r="AF179" s="280" t="str">
        <f t="shared" si="58"/>
        <v>0.342 IPLV</v>
      </c>
      <c r="AG179" s="264">
        <v>10</v>
      </c>
      <c r="AH179" s="264">
        <v>300</v>
      </c>
      <c r="AI179" s="172">
        <v>0.2</v>
      </c>
      <c r="AJ179" s="278" cm="1">
        <f t="array" ref="AJ179">MAX(IF($AO$193:$AO$216=AE179,$AT$193:$AT$216))</f>
        <v>0.34200000000000003</v>
      </c>
      <c r="AK179" s="300">
        <f t="shared" si="56"/>
        <v>36.256896082500006</v>
      </c>
      <c r="AL179" s="274" cm="1">
        <f t="array" ref="AL179">MIN(IF($AO$193:$AO$216=AE179,$AU$193:$AU$216))</f>
        <v>0.32300000000000001</v>
      </c>
      <c r="AM179" s="300">
        <f t="shared" si="57"/>
        <v>79.436501024999998</v>
      </c>
      <c r="AN179" s="265" t="s">
        <v>417</v>
      </c>
      <c r="AO179" s="313" t="s">
        <v>418</v>
      </c>
      <c r="AP179" s="265">
        <v>50</v>
      </c>
      <c r="AQ179" s="265">
        <v>13.6</v>
      </c>
      <c r="AR179" s="265"/>
      <c r="AS179" s="265">
        <v>3.3</v>
      </c>
      <c r="AT179" s="84"/>
      <c r="AU179" s="51"/>
      <c r="AV179" s="259" t="s">
        <v>419</v>
      </c>
      <c r="AW179" s="259" t="s">
        <v>419</v>
      </c>
      <c r="AX179" s="259" t="s">
        <v>419</v>
      </c>
      <c r="AY179" s="259" t="s">
        <v>419</v>
      </c>
      <c r="AZ179" s="259" t="s">
        <v>419</v>
      </c>
      <c r="BA179" s="259" t="s">
        <v>419</v>
      </c>
      <c r="BB179" s="259" t="s">
        <v>419</v>
      </c>
      <c r="BC179" s="259" t="s">
        <v>419</v>
      </c>
      <c r="BD179" s="259" t="s">
        <v>419</v>
      </c>
      <c r="BE179" s="259" t="s">
        <v>419</v>
      </c>
      <c r="BF179" s="259" t="s">
        <v>419</v>
      </c>
      <c r="BG179" s="259" t="s">
        <v>419</v>
      </c>
      <c r="BH179" s="103" t="s">
        <v>414</v>
      </c>
      <c r="BI179" s="66"/>
      <c r="BJ179" s="66"/>
      <c r="BK179" s="66"/>
      <c r="BL179" s="68"/>
      <c r="BO179" s="68"/>
      <c r="BP179" s="69"/>
      <c r="BQ179" s="61"/>
      <c r="BR179" s="59"/>
      <c r="BS179" s="50"/>
      <c r="BT179" s="50"/>
      <c r="BU179" s="56"/>
      <c r="BV179" s="318" t="s">
        <v>420</v>
      </c>
      <c r="BW179" s="56"/>
      <c r="BX179" s="349" t="s">
        <v>420</v>
      </c>
    </row>
    <row r="180" spans="1:257" s="24" customFormat="1" ht="23.5" hidden="1">
      <c r="AB180" s="26"/>
      <c r="AC180" s="79"/>
      <c r="AD180" s="174" t="s">
        <v>372</v>
      </c>
      <c r="AE180" s="269" t="s">
        <v>203</v>
      </c>
      <c r="AF180" s="280" t="str">
        <f>_xlfn.CONCAT(ROUND(AJ180,3)," IPLV")</f>
        <v>0.796 IPLV</v>
      </c>
      <c r="AG180" s="268">
        <v>20</v>
      </c>
      <c r="AH180" s="268">
        <v>200</v>
      </c>
      <c r="AI180" s="172">
        <v>0.2</v>
      </c>
      <c r="AJ180" s="279" cm="1">
        <f t="array" ref="AJ180">MAX(IF($AO$193:$AO$216=AE180,$AT$193:$AT$216))</f>
        <v>0.79600000000000004</v>
      </c>
      <c r="AK180" s="300">
        <f t="shared" si="56"/>
        <v>85.018696567363065</v>
      </c>
      <c r="AL180" s="274" cm="1">
        <f t="array" ref="AL180">MIN(IF($AO$193:$AO$216=AE180,$AU$193:$AU$216))</f>
        <v>0.72899999999999998</v>
      </c>
      <c r="AM180" s="300">
        <f t="shared" si="57"/>
        <v>153.43593749999999</v>
      </c>
      <c r="AN180" s="265"/>
      <c r="AO180" s="313"/>
      <c r="AP180" s="265"/>
      <c r="AQ180" s="265"/>
      <c r="AR180" s="265"/>
      <c r="AS180" s="265"/>
      <c r="AT180" s="84"/>
      <c r="AU180" s="51"/>
      <c r="AV180" s="260" t="s">
        <v>421</v>
      </c>
      <c r="AW180" s="260" t="s">
        <v>421</v>
      </c>
      <c r="AX180" s="260" t="s">
        <v>421</v>
      </c>
      <c r="AY180" s="260" t="s">
        <v>421</v>
      </c>
      <c r="AZ180" s="260" t="s">
        <v>421</v>
      </c>
      <c r="BA180" s="260" t="s">
        <v>421</v>
      </c>
      <c r="BB180" s="260" t="s">
        <v>421</v>
      </c>
      <c r="BC180" s="260" t="s">
        <v>421</v>
      </c>
      <c r="BD180" s="260" t="s">
        <v>421</v>
      </c>
      <c r="BE180" s="260" t="s">
        <v>421</v>
      </c>
      <c r="BF180" s="260" t="s">
        <v>421</v>
      </c>
      <c r="BG180" s="260" t="s">
        <v>421</v>
      </c>
      <c r="BH180" s="103" t="s">
        <v>419</v>
      </c>
      <c r="BI180" s="66"/>
      <c r="BJ180" s="66"/>
      <c r="BK180" s="66"/>
      <c r="BL180" s="68"/>
      <c r="BM180" s="68"/>
      <c r="BN180" s="69"/>
      <c r="BO180" s="61"/>
      <c r="BP180" s="59"/>
      <c r="BQ180" s="50"/>
      <c r="BR180" s="50"/>
      <c r="BS180" s="56"/>
      <c r="BT180" s="56"/>
      <c r="BU180" s="56"/>
      <c r="BV180" s="56"/>
      <c r="BW180" s="56"/>
      <c r="BX180" s="56"/>
    </row>
    <row r="181" spans="1:257" s="24" customFormat="1" ht="23.5" hidden="1">
      <c r="AB181" s="90"/>
      <c r="AC181" s="91"/>
      <c r="AD181" s="174" t="s">
        <v>372</v>
      </c>
      <c r="AE181" s="269" t="s">
        <v>207</v>
      </c>
      <c r="AF181" s="280" t="str">
        <f t="shared" si="58"/>
        <v>0.779 IPLV</v>
      </c>
      <c r="AG181" s="268">
        <v>20</v>
      </c>
      <c r="AH181" s="268">
        <v>200</v>
      </c>
      <c r="AI181" s="172">
        <v>0.2</v>
      </c>
      <c r="AJ181" s="279" cm="1">
        <f t="array" ref="AJ181">MAX(IF($AO$193:$AO$216=AE181,$AT$193:$AT$216))</f>
        <v>0.77900000000000003</v>
      </c>
      <c r="AK181" s="300">
        <f t="shared" si="56"/>
        <v>65.514442921293963</v>
      </c>
      <c r="AL181" s="274" cm="1">
        <f t="array" ref="AL181">MIN(IF($AO$193:$AO$216=AE181,$AU$193:$AU$216))</f>
        <v>0.71399999999999997</v>
      </c>
      <c r="AM181" s="300">
        <f t="shared" si="57"/>
        <v>88.960265707252375</v>
      </c>
      <c r="AN181" s="265" t="s">
        <v>422</v>
      </c>
      <c r="AO181" s="313" t="s">
        <v>418</v>
      </c>
      <c r="AP181" s="265">
        <v>50</v>
      </c>
      <c r="AQ181" s="265">
        <v>13.6</v>
      </c>
      <c r="AR181" s="265"/>
      <c r="AS181" s="265">
        <v>3.3</v>
      </c>
      <c r="AT181" s="84"/>
      <c r="AU181" s="100" t="s">
        <v>303</v>
      </c>
      <c r="BH181" s="237" t="s">
        <v>421</v>
      </c>
      <c r="BI181" s="66"/>
      <c r="BJ181" s="66"/>
      <c r="BK181" s="66"/>
      <c r="BL181" s="59"/>
      <c r="BM181" s="68"/>
      <c r="BN181" s="69"/>
      <c r="BO181" s="61"/>
      <c r="BP181" s="59"/>
      <c r="BQ181" s="50"/>
      <c r="BR181" s="50"/>
      <c r="BS181" s="56"/>
      <c r="BT181" s="56"/>
      <c r="BU181" s="56"/>
      <c r="BV181" s="56"/>
      <c r="BW181" s="56"/>
      <c r="BX181" s="56"/>
    </row>
    <row r="182" spans="1:257" s="24" customFormat="1" hidden="1">
      <c r="AB182" s="59"/>
      <c r="AC182" s="91"/>
      <c r="AD182" s="61"/>
      <c r="AE182" s="268" t="s">
        <v>423</v>
      </c>
      <c r="AF182" s="281" t="s">
        <v>424</v>
      </c>
      <c r="AG182" s="268">
        <v>115</v>
      </c>
      <c r="AH182" s="225" t="e">
        <f>NA()</f>
        <v>#N/A</v>
      </c>
      <c r="AI182" s="225" t="e">
        <f>NA()</f>
        <v>#N/A</v>
      </c>
      <c r="AJ182" s="225" t="e">
        <f>NA()</f>
        <v>#N/A</v>
      </c>
      <c r="AK182" s="52"/>
      <c r="AL182" s="52"/>
      <c r="AM182" s="52"/>
      <c r="AN182" s="265" t="s">
        <v>425</v>
      </c>
      <c r="AO182" s="313" t="s">
        <v>426</v>
      </c>
      <c r="AP182" s="265">
        <v>50</v>
      </c>
      <c r="AQ182" s="265">
        <v>16.2</v>
      </c>
      <c r="AR182" s="265"/>
      <c r="AS182" s="265">
        <v>3.6</v>
      </c>
      <c r="AT182" s="84"/>
      <c r="AU182" s="347" t="s">
        <v>305</v>
      </c>
      <c r="BB182" s="237"/>
      <c r="BC182" s="237"/>
      <c r="BD182" s="237"/>
      <c r="BE182" s="237"/>
      <c r="BF182" s="237"/>
      <c r="BG182" s="237"/>
      <c r="BI182" s="110"/>
      <c r="BJ182" s="110"/>
      <c r="BK182" s="110"/>
      <c r="BL182" s="59"/>
      <c r="BM182" s="68"/>
      <c r="BN182" s="69"/>
      <c r="BO182" s="61"/>
      <c r="BP182" s="59"/>
      <c r="BQ182" s="50"/>
      <c r="BR182" s="50"/>
      <c r="BS182" s="56"/>
      <c r="BT182" s="56"/>
      <c r="BU182" s="56"/>
      <c r="BV182" s="56"/>
      <c r="BW182" s="56"/>
      <c r="BX182" s="56"/>
    </row>
    <row r="183" spans="1:257" s="24" customFormat="1" hidden="1">
      <c r="AB183" s="59"/>
      <c r="AC183" s="91"/>
      <c r="AD183" s="92"/>
      <c r="AE183" s="268" t="s">
        <v>427</v>
      </c>
      <c r="AF183" s="281" t="s">
        <v>424</v>
      </c>
      <c r="AG183" s="268">
        <v>115</v>
      </c>
      <c r="AH183" s="225" t="e">
        <f>NA()</f>
        <v>#N/A</v>
      </c>
      <c r="AI183" s="225" t="e">
        <f>NA()</f>
        <v>#N/A</v>
      </c>
      <c r="AJ183" s="225" t="e">
        <f>NA()</f>
        <v>#N/A</v>
      </c>
      <c r="AK183" s="52"/>
      <c r="AL183" s="52"/>
      <c r="AM183" s="52"/>
      <c r="AN183" s="265" t="s">
        <v>428</v>
      </c>
      <c r="AO183" s="313" t="s">
        <v>429</v>
      </c>
      <c r="AP183" s="265">
        <v>50</v>
      </c>
      <c r="AQ183" s="265">
        <v>13.8</v>
      </c>
      <c r="AR183" s="265"/>
      <c r="AS183" s="265">
        <v>3.3</v>
      </c>
      <c r="AT183" s="84"/>
      <c r="AU183" s="336" t="s">
        <v>430</v>
      </c>
      <c r="AV183" s="51"/>
      <c r="AW183" s="51"/>
      <c r="AX183" s="51"/>
      <c r="AY183" s="51"/>
      <c r="AZ183" s="51"/>
      <c r="BA183" s="52"/>
      <c r="BB183" s="52"/>
      <c r="BC183" s="51"/>
      <c r="BD183" s="51"/>
      <c r="BE183" s="51"/>
      <c r="BF183" s="59"/>
      <c r="BG183" s="59"/>
      <c r="BH183" s="59"/>
      <c r="BI183" s="59"/>
      <c r="BJ183" s="59"/>
      <c r="BK183" s="50"/>
      <c r="BL183" s="50"/>
      <c r="BM183" s="56"/>
      <c r="BN183" s="56"/>
      <c r="BO183" s="56"/>
      <c r="BP183" s="56"/>
      <c r="BQ183" s="56"/>
      <c r="BR183" s="56"/>
    </row>
    <row r="184" spans="1:257" s="24" customFormat="1" hidden="1">
      <c r="AB184" s="59"/>
      <c r="AC184" s="61"/>
      <c r="AD184" s="174" t="s">
        <v>372</v>
      </c>
      <c r="AE184" s="268" t="s">
        <v>431</v>
      </c>
      <c r="AF184" s="281" t="s">
        <v>432</v>
      </c>
      <c r="AG184" s="268">
        <v>15</v>
      </c>
      <c r="AH184" s="225" t="e">
        <f>NA()</f>
        <v>#N/A</v>
      </c>
      <c r="AI184" s="299">
        <v>15.2</v>
      </c>
      <c r="AJ184" s="299">
        <v>16.14</v>
      </c>
      <c r="AK184" s="301">
        <v>36.516903876610513</v>
      </c>
      <c r="AL184" s="302">
        <f>AK184*0.75</f>
        <v>27.387677907457885</v>
      </c>
      <c r="AM184" s="52"/>
      <c r="AN184" s="265" t="s">
        <v>433</v>
      </c>
      <c r="AO184" s="313" t="s">
        <v>429</v>
      </c>
      <c r="AP184" s="265">
        <v>50</v>
      </c>
      <c r="AQ184" s="265">
        <v>13.8</v>
      </c>
      <c r="AR184" s="265"/>
      <c r="AS184" s="265">
        <v>3.3</v>
      </c>
      <c r="AT184" s="84"/>
      <c r="AU184" s="336" t="s">
        <v>434</v>
      </c>
      <c r="AV184" s="51"/>
      <c r="AW184" s="51"/>
      <c r="AX184" s="51"/>
      <c r="AY184" s="51"/>
      <c r="AZ184" s="51"/>
      <c r="BA184" s="52"/>
      <c r="BB184" s="52"/>
      <c r="BC184" s="51"/>
      <c r="BD184" s="51"/>
      <c r="BE184" s="51"/>
      <c r="BF184" s="59"/>
      <c r="BG184" s="59"/>
      <c r="BH184" s="59"/>
      <c r="BI184" s="59"/>
      <c r="BJ184" s="59"/>
      <c r="BK184" s="50"/>
      <c r="BL184" s="50"/>
      <c r="BM184" s="56"/>
      <c r="BN184" s="56"/>
      <c r="BO184" s="56"/>
      <c r="BP184" s="56"/>
      <c r="BQ184" s="56"/>
      <c r="BR184" s="56"/>
    </row>
    <row r="185" spans="1:257" s="24" customFormat="1" hidden="1">
      <c r="AB185" s="59"/>
      <c r="AC185" s="92"/>
      <c r="AD185" s="174" t="s">
        <v>372</v>
      </c>
      <c r="AE185" s="268" t="s">
        <v>435</v>
      </c>
      <c r="AF185" s="281" t="s">
        <v>432</v>
      </c>
      <c r="AG185" s="268">
        <v>15</v>
      </c>
      <c r="AH185" s="225" t="e">
        <f>NA()</f>
        <v>#N/A</v>
      </c>
      <c r="AI185" s="299">
        <v>15.2</v>
      </c>
      <c r="AJ185" s="299">
        <v>16.14</v>
      </c>
      <c r="AK185" s="301">
        <v>36.516903876610513</v>
      </c>
      <c r="AL185" s="302">
        <f t="shared" ref="AL185:AL219" si="60">AK185*0.75</f>
        <v>27.387677907457885</v>
      </c>
      <c r="AM185" s="52"/>
      <c r="AN185" s="265" t="s">
        <v>436</v>
      </c>
      <c r="AO185" s="313" t="s">
        <v>437</v>
      </c>
      <c r="AP185" s="265">
        <v>50</v>
      </c>
      <c r="AQ185" s="265">
        <v>13.2</v>
      </c>
      <c r="AR185" s="265"/>
      <c r="AS185" s="265">
        <v>3.1</v>
      </c>
      <c r="AT185" s="84"/>
      <c r="AU185" s="336" t="s">
        <v>438</v>
      </c>
      <c r="AV185" s="51"/>
      <c r="AW185" s="51"/>
      <c r="AX185" s="51"/>
      <c r="AY185" s="51"/>
      <c r="AZ185" s="51"/>
      <c r="BA185" s="52"/>
      <c r="BB185" s="52"/>
      <c r="BC185" s="51"/>
      <c r="BD185" s="51"/>
      <c r="BE185" s="51"/>
      <c r="BF185" s="59"/>
      <c r="BG185" s="59"/>
      <c r="BH185" s="59"/>
      <c r="BI185" s="59"/>
      <c r="BJ185" s="59"/>
      <c r="BK185" s="50"/>
      <c r="BL185" s="50"/>
      <c r="BM185" s="56"/>
      <c r="BN185" s="56"/>
      <c r="BO185" s="56"/>
      <c r="BP185" s="56"/>
      <c r="BQ185" s="56"/>
      <c r="BR185" s="56"/>
    </row>
    <row r="186" spans="1:257" s="24" customFormat="1" hidden="1">
      <c r="AB186" s="59"/>
      <c r="AC186" s="84"/>
      <c r="AD186" s="174" t="s">
        <v>372</v>
      </c>
      <c r="AE186" s="268" t="s">
        <v>439</v>
      </c>
      <c r="AF186" s="281" t="s">
        <v>432</v>
      </c>
      <c r="AG186" s="268">
        <v>15</v>
      </c>
      <c r="AH186" s="225" t="e">
        <f>NA()</f>
        <v>#N/A</v>
      </c>
      <c r="AI186" s="299">
        <v>15.2</v>
      </c>
      <c r="AJ186" s="299">
        <v>16.14</v>
      </c>
      <c r="AK186" s="301">
        <v>36.516903876610513</v>
      </c>
      <c r="AL186" s="302">
        <f t="shared" si="60"/>
        <v>27.387677907457885</v>
      </c>
      <c r="AM186" s="52"/>
      <c r="AN186" s="265" t="s">
        <v>440</v>
      </c>
      <c r="AO186" s="313" t="s">
        <v>441</v>
      </c>
      <c r="AP186" s="265">
        <v>50</v>
      </c>
      <c r="AQ186" s="265">
        <v>10.8</v>
      </c>
      <c r="AR186" s="265"/>
      <c r="AS186" s="265">
        <v>2.8</v>
      </c>
      <c r="AT186" s="84"/>
      <c r="AU186" s="336" t="s">
        <v>442</v>
      </c>
      <c r="AV186" s="51"/>
      <c r="AW186" s="51"/>
      <c r="AX186" s="51"/>
      <c r="AY186" s="51"/>
      <c r="AZ186" s="51"/>
      <c r="BA186" s="52"/>
      <c r="BB186" s="52"/>
      <c r="BC186" s="51"/>
      <c r="BD186" s="51"/>
      <c r="BE186" s="51"/>
      <c r="BF186" s="59"/>
      <c r="BG186" s="59"/>
      <c r="BH186" s="59"/>
      <c r="BI186" s="59"/>
      <c r="BJ186" s="59"/>
      <c r="BK186" s="50"/>
      <c r="BL186" s="50"/>
      <c r="BM186" s="56"/>
      <c r="BN186" s="56"/>
      <c r="BO186" s="56"/>
      <c r="BP186" s="56"/>
      <c r="BQ186" s="56"/>
      <c r="BR186" s="56"/>
    </row>
    <row r="187" spans="1:257" s="1" customFormat="1" hidden="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59"/>
      <c r="AC187" s="93"/>
      <c r="AD187" s="174" t="s">
        <v>372</v>
      </c>
      <c r="AE187" s="268" t="s">
        <v>443</v>
      </c>
      <c r="AF187" s="281" t="s">
        <v>432</v>
      </c>
      <c r="AG187" s="268">
        <v>15</v>
      </c>
      <c r="AH187" s="225" t="e">
        <f>NA()</f>
        <v>#N/A</v>
      </c>
      <c r="AI187" s="299">
        <v>15.2</v>
      </c>
      <c r="AJ187" s="299">
        <v>16.14</v>
      </c>
      <c r="AK187" s="301">
        <v>36.516903876610513</v>
      </c>
      <c r="AL187" s="302">
        <f t="shared" si="60"/>
        <v>27.387677907457885</v>
      </c>
      <c r="AM187" s="52"/>
      <c r="AN187" s="265" t="s">
        <v>444</v>
      </c>
      <c r="AO187" s="313" t="s">
        <v>441</v>
      </c>
      <c r="AP187" s="265">
        <v>50</v>
      </c>
      <c r="AQ187" s="265">
        <v>10.8</v>
      </c>
      <c r="AR187" s="265"/>
      <c r="AS187" s="265">
        <v>2.8</v>
      </c>
      <c r="AT187" s="84"/>
      <c r="AU187" s="336" t="s">
        <v>445</v>
      </c>
      <c r="AV187" s="51"/>
      <c r="AW187" s="51"/>
      <c r="AX187" s="51"/>
      <c r="AY187" s="51"/>
      <c r="AZ187" s="51"/>
      <c r="BA187" s="52"/>
      <c r="BB187" s="52"/>
      <c r="BC187" s="51"/>
      <c r="BD187" s="51"/>
      <c r="BE187" s="51"/>
      <c r="BF187" s="59"/>
      <c r="BG187" s="59"/>
      <c r="BH187" s="59"/>
      <c r="BI187" s="59"/>
      <c r="BJ187" s="59"/>
      <c r="BK187" s="50"/>
      <c r="BL187" s="50"/>
      <c r="BM187" s="56"/>
      <c r="BN187" s="56"/>
      <c r="BO187" s="56"/>
      <c r="BP187" s="56"/>
      <c r="BQ187" s="56"/>
      <c r="BR187" s="56"/>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c r="IO187" s="28"/>
      <c r="IP187" s="28"/>
      <c r="IQ187" s="28"/>
      <c r="IR187" s="28"/>
      <c r="IS187" s="28"/>
      <c r="IT187" s="28"/>
      <c r="IU187" s="28"/>
      <c r="IV187" s="28"/>
      <c r="IW187" s="28"/>
    </row>
    <row r="188" spans="1:257" s="1" customFormat="1" hidden="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59"/>
      <c r="AC188" s="93"/>
      <c r="AD188" s="174" t="s">
        <v>372</v>
      </c>
      <c r="AE188" s="268" t="s">
        <v>446</v>
      </c>
      <c r="AF188" s="281" t="s">
        <v>432</v>
      </c>
      <c r="AG188" s="268">
        <v>15</v>
      </c>
      <c r="AH188" s="225" t="e">
        <f>NA()</f>
        <v>#N/A</v>
      </c>
      <c r="AI188" s="299">
        <v>15.2</v>
      </c>
      <c r="AJ188" s="299">
        <v>16.14</v>
      </c>
      <c r="AK188" s="301">
        <v>36.516903876610513</v>
      </c>
      <c r="AL188" s="302">
        <f t="shared" si="60"/>
        <v>27.387677907457885</v>
      </c>
      <c r="AM188" s="52"/>
      <c r="AN188" s="265" t="s">
        <v>447</v>
      </c>
      <c r="AO188" s="313" t="s">
        <v>448</v>
      </c>
      <c r="AP188" s="265">
        <v>50</v>
      </c>
      <c r="AQ188" s="265">
        <v>13.4</v>
      </c>
      <c r="AR188" s="265"/>
      <c r="AS188" s="265">
        <v>3.1</v>
      </c>
      <c r="AT188" s="84"/>
      <c r="AU188" s="51"/>
      <c r="AV188" s="51"/>
      <c r="AW188" s="51"/>
      <c r="AX188" s="51"/>
      <c r="AY188" s="51"/>
      <c r="AZ188" s="51"/>
      <c r="BA188" s="52"/>
      <c r="BB188" s="52"/>
      <c r="BC188" s="51"/>
      <c r="BD188" s="51"/>
      <c r="BE188" s="51"/>
      <c r="BF188" s="59"/>
      <c r="BG188" s="59"/>
      <c r="BH188" s="59"/>
      <c r="BI188" s="59"/>
      <c r="BJ188" s="59"/>
      <c r="BK188" s="50"/>
      <c r="BL188" s="50"/>
      <c r="BM188" s="56"/>
      <c r="BN188" s="56"/>
      <c r="BO188" s="56"/>
      <c r="BP188" s="56"/>
      <c r="BQ188" s="56"/>
      <c r="BR188" s="56"/>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c r="HG188" s="28"/>
      <c r="HH188" s="28"/>
      <c r="HI188" s="28"/>
      <c r="HJ188" s="28"/>
      <c r="HK188" s="28"/>
      <c r="HL188" s="28"/>
      <c r="HM188" s="28"/>
      <c r="HN188" s="28"/>
      <c r="HO188" s="28"/>
      <c r="HP188" s="28"/>
      <c r="HQ188" s="28"/>
      <c r="HR188" s="28"/>
      <c r="HS188" s="28"/>
      <c r="HT188" s="28"/>
      <c r="HU188" s="28"/>
      <c r="HV188" s="28"/>
      <c r="HW188" s="28"/>
      <c r="HX188" s="28"/>
      <c r="HY188" s="28"/>
      <c r="HZ188" s="28"/>
      <c r="IA188" s="28"/>
      <c r="IB188" s="28"/>
      <c r="IC188" s="28"/>
      <c r="ID188" s="28"/>
      <c r="IE188" s="28"/>
      <c r="IF188" s="28"/>
      <c r="IG188" s="28"/>
      <c r="IH188" s="28"/>
      <c r="II188" s="28"/>
      <c r="IJ188" s="28"/>
      <c r="IK188" s="28"/>
      <c r="IL188" s="28"/>
      <c r="IM188" s="28"/>
      <c r="IN188" s="28"/>
      <c r="IO188" s="28"/>
      <c r="IP188" s="28"/>
      <c r="IQ188" s="28"/>
      <c r="IR188" s="28"/>
      <c r="IS188" s="28"/>
      <c r="IT188" s="28"/>
      <c r="IU188" s="28"/>
      <c r="IV188" s="28"/>
      <c r="IW188" s="28"/>
    </row>
    <row r="189" spans="1:257" s="1" customFormat="1" hidden="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59"/>
      <c r="AC189" s="50"/>
      <c r="AD189" s="174" t="s">
        <v>372</v>
      </c>
      <c r="AE189" s="268" t="s">
        <v>449</v>
      </c>
      <c r="AF189" s="281" t="s">
        <v>432</v>
      </c>
      <c r="AG189" s="268">
        <v>15</v>
      </c>
      <c r="AH189" s="225" t="e">
        <f>NA()</f>
        <v>#N/A</v>
      </c>
      <c r="AI189" s="299">
        <v>15.2</v>
      </c>
      <c r="AJ189" s="299">
        <v>16.14</v>
      </c>
      <c r="AK189" s="301">
        <v>36.516903876610513</v>
      </c>
      <c r="AL189" s="302">
        <f t="shared" si="60"/>
        <v>27.387677907457885</v>
      </c>
      <c r="AM189" s="52"/>
      <c r="AN189" s="265" t="s">
        <v>450</v>
      </c>
      <c r="AO189" s="313" t="s">
        <v>451</v>
      </c>
      <c r="AP189" s="265">
        <v>50</v>
      </c>
      <c r="AQ189" s="265">
        <v>11</v>
      </c>
      <c r="AR189" s="265"/>
      <c r="AS189" s="265">
        <v>2.8</v>
      </c>
      <c r="AT189" s="84"/>
      <c r="AU189" s="51" t="s">
        <v>301</v>
      </c>
      <c r="AV189" s="51"/>
      <c r="AW189" s="51"/>
      <c r="AX189" s="51"/>
      <c r="AY189" s="51"/>
      <c r="AZ189" s="51"/>
      <c r="BA189" s="52"/>
      <c r="BB189" s="52"/>
      <c r="BC189" s="51"/>
      <c r="BD189" s="51"/>
      <c r="BE189" s="51"/>
      <c r="BF189" s="59"/>
      <c r="BG189" s="59"/>
      <c r="BH189" s="59"/>
      <c r="BI189" s="59"/>
      <c r="BJ189" s="59"/>
      <c r="BK189" s="50"/>
      <c r="BL189" s="50"/>
      <c r="BM189" s="56"/>
      <c r="BN189" s="56"/>
      <c r="BO189" s="56"/>
      <c r="BP189" s="56"/>
      <c r="BQ189" s="56"/>
      <c r="BR189" s="56"/>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c r="IR189" s="28"/>
      <c r="IS189" s="28"/>
      <c r="IT189" s="28"/>
      <c r="IU189" s="28"/>
      <c r="IV189" s="28"/>
      <c r="IW189" s="28"/>
    </row>
    <row r="190" spans="1:257" s="1" customFormat="1" hidden="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59"/>
      <c r="AC190" s="50"/>
      <c r="AD190" s="174" t="s">
        <v>372</v>
      </c>
      <c r="AE190" s="268" t="s">
        <v>452</v>
      </c>
      <c r="AF190" s="281" t="s">
        <v>453</v>
      </c>
      <c r="AG190" s="268">
        <v>30</v>
      </c>
      <c r="AH190" s="225" t="e">
        <f>NA()</f>
        <v>#N/A</v>
      </c>
      <c r="AI190" s="299">
        <v>16.149999999999999</v>
      </c>
      <c r="AJ190" s="299">
        <v>17.09</v>
      </c>
      <c r="AK190" s="301">
        <v>55.789714255932722</v>
      </c>
      <c r="AL190" s="302">
        <f t="shared" si="60"/>
        <v>41.842285691949542</v>
      </c>
      <c r="AM190" s="52"/>
      <c r="AN190" s="265" t="s">
        <v>454</v>
      </c>
      <c r="AO190" s="313" t="s">
        <v>451</v>
      </c>
      <c r="AP190" s="265">
        <v>50</v>
      </c>
      <c r="AQ190" s="265">
        <v>11</v>
      </c>
      <c r="AR190" s="265"/>
      <c r="AS190" s="265">
        <v>2.8</v>
      </c>
      <c r="AT190" s="84"/>
      <c r="AU190" s="51"/>
      <c r="AV190" s="51"/>
      <c r="AW190" s="51"/>
      <c r="AX190" s="51"/>
      <c r="AY190" s="51"/>
      <c r="AZ190" s="51"/>
      <c r="BA190" s="52"/>
      <c r="BB190" s="52"/>
      <c r="BC190" s="51"/>
      <c r="BD190" s="51"/>
      <c r="BE190" s="51"/>
      <c r="BF190" s="59"/>
      <c r="BG190" s="59"/>
      <c r="BH190" s="59"/>
      <c r="BI190" s="59"/>
      <c r="BJ190" s="59"/>
      <c r="BK190" s="50"/>
      <c r="BL190" s="50"/>
      <c r="BM190" s="56"/>
      <c r="BN190" s="56"/>
      <c r="BO190" s="56"/>
      <c r="BP190" s="56"/>
      <c r="BQ190" s="56"/>
      <c r="BR190" s="56"/>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8"/>
      <c r="GR190" s="28"/>
      <c r="GS190" s="28"/>
      <c r="GT190" s="28"/>
      <c r="GU190" s="28"/>
      <c r="GV190" s="28"/>
      <c r="GW190" s="28"/>
      <c r="GX190" s="28"/>
      <c r="GY190" s="28"/>
      <c r="GZ190" s="28"/>
      <c r="HA190" s="28"/>
      <c r="HB190" s="28"/>
      <c r="HC190" s="28"/>
      <c r="HD190" s="28"/>
      <c r="HE190" s="28"/>
      <c r="HF190" s="28"/>
      <c r="HG190" s="28"/>
      <c r="HH190" s="28"/>
      <c r="HI190" s="28"/>
      <c r="HJ190" s="28"/>
      <c r="HK190" s="28"/>
      <c r="HL190" s="28"/>
      <c r="HM190" s="28"/>
      <c r="HN190" s="28"/>
      <c r="HO190" s="28"/>
      <c r="HP190" s="28"/>
      <c r="HQ190" s="28"/>
      <c r="HR190" s="28"/>
      <c r="HS190" s="28"/>
      <c r="HT190" s="28"/>
      <c r="HU190" s="28"/>
      <c r="HV190" s="28"/>
      <c r="HW190" s="28"/>
      <c r="HX190" s="28"/>
      <c r="HY190" s="28"/>
      <c r="HZ190" s="28"/>
      <c r="IA190" s="28"/>
      <c r="IB190" s="28"/>
      <c r="IC190" s="28"/>
      <c r="ID190" s="28"/>
      <c r="IE190" s="28"/>
      <c r="IF190" s="28"/>
      <c r="IG190" s="28"/>
      <c r="IH190" s="28"/>
      <c r="II190" s="28"/>
      <c r="IJ190" s="28"/>
      <c r="IK190" s="28"/>
      <c r="IL190" s="28"/>
      <c r="IM190" s="28"/>
      <c r="IN190" s="28"/>
      <c r="IO190" s="28"/>
      <c r="IP190" s="28"/>
      <c r="IQ190" s="28"/>
      <c r="IR190" s="28"/>
      <c r="IS190" s="28"/>
      <c r="IT190" s="28"/>
      <c r="IU190" s="28"/>
      <c r="IV190" s="28"/>
      <c r="IW190" s="28"/>
    </row>
    <row r="191" spans="1:257" s="1" customFormat="1" hidden="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59"/>
      <c r="AC191" s="50"/>
      <c r="AD191" s="174" t="s">
        <v>372</v>
      </c>
      <c r="AE191" s="268" t="s">
        <v>455</v>
      </c>
      <c r="AF191" s="281" t="s">
        <v>453</v>
      </c>
      <c r="AG191" s="268">
        <v>30</v>
      </c>
      <c r="AH191" s="225" t="e">
        <f>NA()</f>
        <v>#N/A</v>
      </c>
      <c r="AI191" s="299">
        <v>16.149999999999999</v>
      </c>
      <c r="AJ191" s="299">
        <v>17.09</v>
      </c>
      <c r="AK191" s="301">
        <v>55.789714255932722</v>
      </c>
      <c r="AL191" s="302">
        <f t="shared" si="60"/>
        <v>41.842285691949542</v>
      </c>
      <c r="AM191" s="52"/>
      <c r="AN191" s="52"/>
      <c r="AO191" s="52"/>
      <c r="AP191" s="52"/>
      <c r="AQ191" s="52"/>
      <c r="AR191" s="57"/>
      <c r="AS191" s="57"/>
      <c r="AT191" s="57"/>
      <c r="AU191" s="57"/>
      <c r="AV191" s="84" t="s">
        <v>456</v>
      </c>
      <c r="AW191" s="56"/>
      <c r="AX191" s="56"/>
      <c r="AY191" s="56"/>
      <c r="AZ191" s="56"/>
      <c r="BA191" s="56"/>
      <c r="BB191" s="56"/>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8"/>
      <c r="GR191" s="28"/>
      <c r="GS191" s="28"/>
      <c r="GT191" s="28"/>
      <c r="GU191" s="28"/>
      <c r="GV191" s="28"/>
      <c r="GW191" s="28"/>
      <c r="GX191" s="28"/>
      <c r="GY191" s="28"/>
      <c r="GZ191" s="28"/>
      <c r="HA191" s="28"/>
      <c r="HB191" s="28"/>
      <c r="HC191" s="28"/>
      <c r="HD191" s="28"/>
      <c r="HE191" s="28"/>
      <c r="HF191" s="28"/>
      <c r="HG191" s="28"/>
      <c r="HH191" s="28"/>
      <c r="HI191" s="28"/>
      <c r="HJ191" s="28"/>
      <c r="HK191" s="28"/>
      <c r="HL191" s="28"/>
      <c r="HM191" s="28"/>
      <c r="HN191" s="28"/>
      <c r="HO191" s="28"/>
      <c r="HP191" s="28"/>
      <c r="HQ191" s="28"/>
      <c r="HR191" s="28"/>
      <c r="HS191" s="28"/>
      <c r="HT191" s="28"/>
      <c r="HU191" s="28"/>
      <c r="HV191" s="28"/>
      <c r="HW191" s="28"/>
      <c r="HX191" s="28"/>
      <c r="HY191" s="28"/>
      <c r="HZ191" s="28"/>
      <c r="IA191" s="28"/>
      <c r="IB191" s="28"/>
      <c r="IC191" s="28"/>
      <c r="ID191" s="28"/>
      <c r="IE191" s="28"/>
      <c r="IF191" s="28"/>
      <c r="IG191" s="28"/>
      <c r="IH191" s="28"/>
      <c r="II191" s="28"/>
      <c r="IJ191" s="28"/>
      <c r="IK191" s="28"/>
      <c r="IL191" s="28"/>
      <c r="IM191" s="28"/>
      <c r="IN191" s="28"/>
      <c r="IO191" s="28"/>
      <c r="IP191" s="28"/>
      <c r="IQ191" s="28"/>
      <c r="IR191" s="28"/>
      <c r="IS191" s="28"/>
      <c r="IT191" s="28"/>
      <c r="IU191" s="28"/>
      <c r="IV191" s="28"/>
      <c r="IW191" s="28"/>
    </row>
    <row r="192" spans="1:257" s="1" customFormat="1" hidden="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59"/>
      <c r="AC192" s="50"/>
      <c r="AD192" s="174" t="s">
        <v>372</v>
      </c>
      <c r="AE192" s="268" t="s">
        <v>457</v>
      </c>
      <c r="AF192" s="281" t="s">
        <v>453</v>
      </c>
      <c r="AG192" s="268">
        <v>30</v>
      </c>
      <c r="AH192" s="225" t="e">
        <f>NA()</f>
        <v>#N/A</v>
      </c>
      <c r="AI192" s="299">
        <v>16.149999999999999</v>
      </c>
      <c r="AJ192" s="299">
        <v>17.09</v>
      </c>
      <c r="AK192" s="301">
        <v>55.789714255932722</v>
      </c>
      <c r="AL192" s="302">
        <f t="shared" si="60"/>
        <v>41.842285691949542</v>
      </c>
      <c r="AM192" s="52"/>
      <c r="AN192" s="238"/>
      <c r="AO192" s="272" t="s">
        <v>458</v>
      </c>
      <c r="AP192" s="270" t="s">
        <v>19</v>
      </c>
      <c r="AQ192" s="270" t="s">
        <v>459</v>
      </c>
      <c r="AR192" s="274" t="s">
        <v>460</v>
      </c>
      <c r="AS192" s="273" t="s">
        <v>461</v>
      </c>
      <c r="AT192" s="273" t="s">
        <v>462</v>
      </c>
      <c r="AU192" s="273" t="s">
        <v>463</v>
      </c>
      <c r="AV192" s="84"/>
      <c r="AW192" s="56"/>
      <c r="AX192" s="56"/>
      <c r="AY192" s="56"/>
      <c r="AZ192" s="56"/>
      <c r="BA192" s="56"/>
      <c r="BB192" s="56"/>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c r="IO192" s="28"/>
      <c r="IP192" s="28"/>
      <c r="IQ192" s="28"/>
      <c r="IR192" s="28"/>
      <c r="IS192" s="28"/>
      <c r="IT192" s="28"/>
      <c r="IU192" s="28"/>
      <c r="IV192" s="28"/>
      <c r="IW192" s="28"/>
    </row>
    <row r="193" spans="1:257" s="1" customFormat="1" hidden="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59"/>
      <c r="AC193" s="50"/>
      <c r="AD193" s="174" t="s">
        <v>372</v>
      </c>
      <c r="AE193" s="268" t="s">
        <v>464</v>
      </c>
      <c r="AF193" s="281" t="s">
        <v>453</v>
      </c>
      <c r="AG193" s="268">
        <v>30</v>
      </c>
      <c r="AH193" s="225" t="e">
        <f>NA()</f>
        <v>#N/A</v>
      </c>
      <c r="AI193" s="299">
        <v>16.149999999999999</v>
      </c>
      <c r="AJ193" s="299">
        <v>17.09</v>
      </c>
      <c r="AK193" s="301">
        <v>55.789714255932722</v>
      </c>
      <c r="AL193" s="302">
        <f t="shared" si="60"/>
        <v>41.842285691949542</v>
      </c>
      <c r="AM193" s="52"/>
      <c r="AN193" s="238"/>
      <c r="AO193" s="270" t="s">
        <v>180</v>
      </c>
      <c r="AP193" s="271" t="s">
        <v>465</v>
      </c>
      <c r="AQ193" s="271">
        <v>83.085576919999994</v>
      </c>
      <c r="AR193" s="275">
        <v>0.39600000000000002</v>
      </c>
      <c r="AS193" s="276">
        <v>0.44</v>
      </c>
      <c r="AT193" s="277">
        <f>AR193</f>
        <v>0.39600000000000002</v>
      </c>
      <c r="AU193" s="277">
        <f>AR194</f>
        <v>0.374</v>
      </c>
      <c r="AV193" s="84">
        <v>15.8</v>
      </c>
      <c r="AW193" s="56"/>
      <c r="AX193" s="56"/>
      <c r="AY193" s="56"/>
      <c r="AZ193" s="56"/>
      <c r="BA193" s="56"/>
      <c r="BB193" s="56"/>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c r="IO193" s="28"/>
      <c r="IP193" s="28"/>
      <c r="IQ193" s="28"/>
      <c r="IR193" s="28"/>
      <c r="IS193" s="28"/>
      <c r="IT193" s="28"/>
      <c r="IU193" s="28"/>
      <c r="IV193" s="28"/>
      <c r="IW193" s="28"/>
    </row>
    <row r="194" spans="1:257" s="1" customFormat="1" hidden="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59"/>
      <c r="AC194" s="50"/>
      <c r="AD194" s="174" t="s">
        <v>372</v>
      </c>
      <c r="AE194" s="268" t="s">
        <v>466</v>
      </c>
      <c r="AF194" s="281" t="s">
        <v>453</v>
      </c>
      <c r="AG194" s="268">
        <v>30</v>
      </c>
      <c r="AH194" s="225" t="e">
        <f>NA()</f>
        <v>#N/A</v>
      </c>
      <c r="AI194" s="299">
        <v>16.149999999999999</v>
      </c>
      <c r="AJ194" s="299">
        <v>17.09</v>
      </c>
      <c r="AK194" s="301">
        <v>55.789714255932722</v>
      </c>
      <c r="AL194" s="302">
        <f t="shared" si="60"/>
        <v>41.842285691949542</v>
      </c>
      <c r="AM194" s="52"/>
      <c r="AN194" s="238"/>
      <c r="AO194" s="270" t="s">
        <v>180</v>
      </c>
      <c r="AP194" s="272" t="s">
        <v>467</v>
      </c>
      <c r="AQ194" s="272">
        <v>155.97692309999999</v>
      </c>
      <c r="AR194" s="275">
        <v>0.374</v>
      </c>
      <c r="AS194" s="276">
        <v>0.44</v>
      </c>
      <c r="AT194" s="277">
        <f>AR193</f>
        <v>0.39600000000000002</v>
      </c>
      <c r="AU194" s="277">
        <f>AR194</f>
        <v>0.374</v>
      </c>
      <c r="AV194" s="84">
        <v>20.2</v>
      </c>
      <c r="AW194" s="56"/>
      <c r="AX194" s="56"/>
      <c r="AY194" s="56"/>
      <c r="AZ194" s="56"/>
      <c r="BA194" s="56"/>
      <c r="BB194" s="56"/>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c r="IO194" s="28"/>
      <c r="IP194" s="28"/>
      <c r="IQ194" s="28"/>
      <c r="IR194" s="28"/>
      <c r="IS194" s="28"/>
      <c r="IT194" s="28"/>
      <c r="IU194" s="28"/>
      <c r="IV194" s="28"/>
      <c r="IW194" s="28"/>
    </row>
    <row r="195" spans="1:257" s="1" customFormat="1" hidden="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59"/>
      <c r="AC195" s="50"/>
      <c r="AD195" s="174" t="s">
        <v>372</v>
      </c>
      <c r="AE195" s="268" t="s">
        <v>468</v>
      </c>
      <c r="AF195" s="281" t="s">
        <v>453</v>
      </c>
      <c r="AG195" s="268">
        <v>30</v>
      </c>
      <c r="AH195" s="225" t="e">
        <f>NA()</f>
        <v>#N/A</v>
      </c>
      <c r="AI195" s="299">
        <v>16.149999999999999</v>
      </c>
      <c r="AJ195" s="299">
        <v>17.09</v>
      </c>
      <c r="AK195" s="301">
        <v>55.789714255932722</v>
      </c>
      <c r="AL195" s="302">
        <f t="shared" si="60"/>
        <v>41.842285691949542</v>
      </c>
      <c r="AM195" s="52"/>
      <c r="AN195" s="238"/>
      <c r="AO195" s="270" t="s">
        <v>184</v>
      </c>
      <c r="AP195" s="272" t="s">
        <v>469</v>
      </c>
      <c r="AQ195" s="272">
        <v>61.565884619999999</v>
      </c>
      <c r="AR195" s="275">
        <v>0.36000000000000004</v>
      </c>
      <c r="AS195" s="276">
        <v>0.4</v>
      </c>
      <c r="AT195" s="277">
        <f>AR195</f>
        <v>0.36000000000000004</v>
      </c>
      <c r="AU195" s="277">
        <f>AR196</f>
        <v>0.34</v>
      </c>
      <c r="AV195" s="84">
        <v>15</v>
      </c>
      <c r="AW195" s="56"/>
      <c r="AX195" s="56"/>
      <c r="AY195" s="56"/>
      <c r="AZ195" s="56"/>
      <c r="BA195" s="56"/>
      <c r="BB195" s="56"/>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c r="IO195" s="28"/>
      <c r="IP195" s="28"/>
      <c r="IQ195" s="28"/>
      <c r="IR195" s="28"/>
      <c r="IS195" s="28"/>
      <c r="IT195" s="28"/>
      <c r="IU195" s="28"/>
      <c r="IV195" s="28"/>
      <c r="IW195" s="28"/>
    </row>
    <row r="196" spans="1:257" s="1" customFormat="1" ht="13" hidden="1">
      <c r="A196" s="81"/>
      <c r="B196" s="61"/>
      <c r="C196" s="126"/>
      <c r="D196" s="81"/>
      <c r="E196" s="81"/>
      <c r="F196" s="57"/>
      <c r="G196" s="57"/>
      <c r="H196" s="57"/>
      <c r="I196" s="57"/>
      <c r="J196" s="57"/>
      <c r="K196" s="57"/>
      <c r="L196" s="57"/>
      <c r="M196" s="57"/>
      <c r="N196" s="57"/>
      <c r="O196" s="57"/>
      <c r="P196" s="57"/>
      <c r="Q196" s="57"/>
      <c r="R196" s="57"/>
      <c r="S196" s="57"/>
      <c r="T196" s="57"/>
      <c r="U196" s="57"/>
      <c r="V196" s="57"/>
      <c r="W196" s="127"/>
      <c r="X196" s="128"/>
      <c r="Y196" s="127"/>
      <c r="Z196" s="127"/>
      <c r="AA196" s="128"/>
      <c r="AB196" s="93"/>
      <c r="AC196" s="50"/>
      <c r="AD196" s="174" t="s">
        <v>372</v>
      </c>
      <c r="AE196" s="268" t="s">
        <v>470</v>
      </c>
      <c r="AF196" s="281" t="s">
        <v>471</v>
      </c>
      <c r="AG196" s="268">
        <v>40</v>
      </c>
      <c r="AH196" s="225" t="e">
        <f>NA()</f>
        <v>#N/A</v>
      </c>
      <c r="AI196" s="299">
        <v>17.100000000000001</v>
      </c>
      <c r="AJ196" s="299">
        <v>30</v>
      </c>
      <c r="AK196" s="301">
        <v>75.062524635254931</v>
      </c>
      <c r="AL196" s="302">
        <f t="shared" si="60"/>
        <v>56.296893476441198</v>
      </c>
      <c r="AM196" s="52"/>
      <c r="AN196" s="238"/>
      <c r="AO196" s="270" t="s">
        <v>184</v>
      </c>
      <c r="AP196" s="272" t="s">
        <v>472</v>
      </c>
      <c r="AQ196" s="272">
        <v>105.7175481</v>
      </c>
      <c r="AR196" s="275">
        <v>0.34</v>
      </c>
      <c r="AS196" s="276">
        <v>0.4</v>
      </c>
      <c r="AT196" s="277">
        <f>AR195</f>
        <v>0.36000000000000004</v>
      </c>
      <c r="AU196" s="277">
        <f>AR196</f>
        <v>0.34</v>
      </c>
      <c r="AV196" s="84">
        <v>19</v>
      </c>
      <c r="AW196" s="96"/>
      <c r="AX196" s="54"/>
      <c r="AY196" s="54"/>
      <c r="AZ196" s="54"/>
      <c r="BA196" s="54"/>
      <c r="BB196" s="54"/>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c r="IO196" s="28"/>
      <c r="IP196" s="28"/>
      <c r="IQ196" s="28"/>
      <c r="IR196" s="28"/>
      <c r="IS196" s="28"/>
      <c r="IT196" s="28"/>
      <c r="IU196" s="28"/>
      <c r="IV196" s="28"/>
      <c r="IW196" s="28"/>
    </row>
    <row r="197" spans="1:257" s="1" customFormat="1" ht="13" hidden="1">
      <c r="A197" s="129"/>
      <c r="B197" s="129"/>
      <c r="C197" s="129"/>
      <c r="D197" s="130"/>
      <c r="E197" s="130"/>
      <c r="F197" s="130"/>
      <c r="G197" s="130"/>
      <c r="H197" s="130"/>
      <c r="I197" s="130"/>
      <c r="J197" s="130"/>
      <c r="K197" s="130"/>
      <c r="L197" s="130"/>
      <c r="M197" s="130"/>
      <c r="N197" s="130"/>
      <c r="O197" s="130"/>
      <c r="P197" s="130"/>
      <c r="Q197" s="130"/>
      <c r="R197" s="130"/>
      <c r="S197" s="25"/>
      <c r="T197" s="25"/>
      <c r="U197" s="131"/>
      <c r="V197" s="132"/>
      <c r="W197" s="132"/>
      <c r="X197" s="28"/>
      <c r="Y197" s="28"/>
      <c r="Z197" s="28"/>
      <c r="AA197" s="28"/>
      <c r="AB197" s="93"/>
      <c r="AC197" s="50"/>
      <c r="AD197" s="174" t="s">
        <v>372</v>
      </c>
      <c r="AE197" s="268" t="s">
        <v>473</v>
      </c>
      <c r="AF197" s="281" t="s">
        <v>471</v>
      </c>
      <c r="AG197" s="268">
        <v>40</v>
      </c>
      <c r="AH197" s="225" t="e">
        <f>NA()</f>
        <v>#N/A</v>
      </c>
      <c r="AI197" s="299">
        <v>17.100000000000001</v>
      </c>
      <c r="AJ197" s="299">
        <v>30</v>
      </c>
      <c r="AK197" s="301">
        <v>75.062524635254931</v>
      </c>
      <c r="AL197" s="302">
        <f t="shared" si="60"/>
        <v>56.296893476441198</v>
      </c>
      <c r="AM197" s="52"/>
      <c r="AN197" s="238"/>
      <c r="AO197" s="270" t="s">
        <v>186</v>
      </c>
      <c r="AP197" s="272" t="s">
        <v>474</v>
      </c>
      <c r="AQ197" s="272">
        <v>61.415666209999998</v>
      </c>
      <c r="AR197" s="275">
        <v>0.35100000000000003</v>
      </c>
      <c r="AS197" s="276">
        <v>0.39</v>
      </c>
      <c r="AT197" s="277">
        <f>AR197</f>
        <v>0.35100000000000003</v>
      </c>
      <c r="AU197" s="277">
        <f>AR198</f>
        <v>0.33150000000000002</v>
      </c>
      <c r="AV197" s="84">
        <v>14.8</v>
      </c>
      <c r="AW197" s="56"/>
      <c r="AX197" s="56"/>
      <c r="AY197" s="56"/>
      <c r="AZ197" s="56"/>
      <c r="BA197" s="56"/>
      <c r="BB197" s="56"/>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c r="IO197" s="28"/>
      <c r="IP197" s="28"/>
      <c r="IQ197" s="28"/>
      <c r="IR197" s="28"/>
      <c r="IS197" s="28"/>
      <c r="IT197" s="28"/>
      <c r="IU197" s="28"/>
      <c r="IV197" s="28"/>
      <c r="IW197" s="28"/>
    </row>
    <row r="198" spans="1:257" s="1" customFormat="1" ht="15.5" hidden="1">
      <c r="A198" s="129"/>
      <c r="B198" s="129"/>
      <c r="C198" s="129"/>
      <c r="D198" s="130"/>
      <c r="E198" s="130"/>
      <c r="F198" s="130"/>
      <c r="G198" s="130"/>
      <c r="H198" s="130"/>
      <c r="I198" s="130"/>
      <c r="J198" s="130"/>
      <c r="K198" s="130"/>
      <c r="L198" s="130"/>
      <c r="M198" s="130"/>
      <c r="N198" s="130"/>
      <c r="O198" s="130"/>
      <c r="P198" s="130"/>
      <c r="Q198" s="130"/>
      <c r="R198" s="130"/>
      <c r="S198" s="25"/>
      <c r="T198" s="25"/>
      <c r="U198" s="131"/>
      <c r="V198" s="132"/>
      <c r="W198" s="132"/>
      <c r="X198" s="28"/>
      <c r="Y198" s="28"/>
      <c r="Z198" s="28"/>
      <c r="AA198" s="28"/>
      <c r="AB198" s="97"/>
      <c r="AC198" s="50"/>
      <c r="AD198" s="174" t="s">
        <v>372</v>
      </c>
      <c r="AE198" s="268" t="s">
        <v>475</v>
      </c>
      <c r="AF198" s="281" t="s">
        <v>471</v>
      </c>
      <c r="AG198" s="268">
        <v>40</v>
      </c>
      <c r="AH198" s="225" t="e">
        <f>NA()</f>
        <v>#N/A</v>
      </c>
      <c r="AI198" s="299">
        <v>17.100000000000001</v>
      </c>
      <c r="AJ198" s="299">
        <v>30</v>
      </c>
      <c r="AK198" s="301">
        <v>75.062524635254931</v>
      </c>
      <c r="AL198" s="302">
        <f t="shared" si="60"/>
        <v>56.296893476441198</v>
      </c>
      <c r="AM198" s="52"/>
      <c r="AN198" s="238"/>
      <c r="AO198" s="270" t="s">
        <v>186</v>
      </c>
      <c r="AP198" s="272" t="s">
        <v>476</v>
      </c>
      <c r="AQ198" s="272">
        <v>90.426820050000003</v>
      </c>
      <c r="AR198" s="275">
        <v>0.33150000000000002</v>
      </c>
      <c r="AS198" s="276">
        <v>0.39</v>
      </c>
      <c r="AT198" s="277">
        <f>AR197</f>
        <v>0.35100000000000003</v>
      </c>
      <c r="AU198" s="277">
        <f>AR198</f>
        <v>0.33150000000000002</v>
      </c>
      <c r="AV198" s="84">
        <v>18.7</v>
      </c>
      <c r="AW198" s="56"/>
      <c r="AX198" s="56"/>
      <c r="AY198" s="56"/>
      <c r="AZ198" s="56"/>
      <c r="BA198" s="56"/>
      <c r="BB198" s="56"/>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c r="IO198" s="28"/>
      <c r="IP198" s="28"/>
      <c r="IQ198" s="28"/>
      <c r="IR198" s="28"/>
      <c r="IS198" s="28"/>
      <c r="IT198" s="28"/>
      <c r="IU198" s="28"/>
      <c r="IV198" s="28"/>
      <c r="IW198" s="28"/>
    </row>
    <row r="199" spans="1:257" s="1" customFormat="1" ht="13" hidden="1">
      <c r="A199" s="133"/>
      <c r="B199" s="133"/>
      <c r="C199" s="133"/>
      <c r="D199" s="134"/>
      <c r="E199" s="134"/>
      <c r="F199" s="134"/>
      <c r="G199" s="134"/>
      <c r="H199" s="134"/>
      <c r="I199" s="134"/>
      <c r="J199" s="134"/>
      <c r="K199" s="134"/>
      <c r="L199" s="134"/>
      <c r="M199" s="134"/>
      <c r="N199" s="134"/>
      <c r="O199" s="134"/>
      <c r="P199" s="134"/>
      <c r="Q199" s="134"/>
      <c r="R199" s="134"/>
      <c r="S199" s="134"/>
      <c r="T199" s="134"/>
      <c r="U199" s="135"/>
      <c r="V199" s="136"/>
      <c r="W199" s="137"/>
      <c r="X199" s="28"/>
      <c r="Y199" s="28"/>
      <c r="Z199" s="28"/>
      <c r="AA199" s="28"/>
      <c r="AB199" s="50"/>
      <c r="AC199" s="50"/>
      <c r="AD199" s="174" t="s">
        <v>372</v>
      </c>
      <c r="AE199" s="268" t="s">
        <v>477</v>
      </c>
      <c r="AF199" s="281" t="s">
        <v>471</v>
      </c>
      <c r="AG199" s="268">
        <v>40</v>
      </c>
      <c r="AH199" s="225" t="e">
        <f>NA()</f>
        <v>#N/A</v>
      </c>
      <c r="AI199" s="299">
        <v>17.100000000000001</v>
      </c>
      <c r="AJ199" s="303">
        <v>30</v>
      </c>
      <c r="AK199" s="301">
        <v>75.062524635254931</v>
      </c>
      <c r="AL199" s="302">
        <f t="shared" si="60"/>
        <v>56.296893476441198</v>
      </c>
      <c r="AM199" s="52"/>
      <c r="AN199" s="238"/>
      <c r="AO199" s="270" t="s">
        <v>188</v>
      </c>
      <c r="AP199" s="272" t="s">
        <v>478</v>
      </c>
      <c r="AQ199" s="272">
        <v>42.94985294</v>
      </c>
      <c r="AR199" s="275">
        <v>0.34200000000000003</v>
      </c>
      <c r="AS199" s="276">
        <v>0.38</v>
      </c>
      <c r="AT199" s="277">
        <f>AR199</f>
        <v>0.34200000000000003</v>
      </c>
      <c r="AU199" s="277">
        <f>AR200</f>
        <v>0.32300000000000001</v>
      </c>
      <c r="AV199" s="84">
        <v>14.6</v>
      </c>
      <c r="AW199" s="56"/>
      <c r="AX199" s="56"/>
      <c r="AY199" s="56"/>
      <c r="AZ199" s="56"/>
      <c r="BA199" s="56"/>
      <c r="BB199" s="56"/>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c r="ID199" s="28"/>
      <c r="IE199" s="28"/>
      <c r="IF199" s="28"/>
      <c r="IG199" s="28"/>
      <c r="IH199" s="28"/>
      <c r="II199" s="28"/>
      <c r="IJ199" s="28"/>
      <c r="IK199" s="28"/>
      <c r="IL199" s="28"/>
      <c r="IM199" s="28"/>
      <c r="IN199" s="28"/>
      <c r="IO199" s="28"/>
      <c r="IP199" s="28"/>
      <c r="IQ199" s="28"/>
      <c r="IR199" s="28"/>
      <c r="IS199" s="28"/>
      <c r="IT199" s="28"/>
      <c r="IU199" s="28"/>
      <c r="IV199" s="28"/>
      <c r="IW199" s="28"/>
    </row>
    <row r="200" spans="1:257" s="1" customFormat="1" ht="17.25" hidden="1" customHeight="1">
      <c r="A200" s="28"/>
      <c r="B200" s="138"/>
      <c r="C200" s="138"/>
      <c r="D200" s="138"/>
      <c r="E200" s="139"/>
      <c r="F200" s="139"/>
      <c r="G200" s="139"/>
      <c r="H200" s="139"/>
      <c r="I200" s="139"/>
      <c r="J200" s="139"/>
      <c r="K200" s="139"/>
      <c r="L200" s="139"/>
      <c r="M200" s="139"/>
      <c r="N200" s="139"/>
      <c r="O200" s="139"/>
      <c r="P200" s="139"/>
      <c r="Q200" s="139"/>
      <c r="R200" s="139"/>
      <c r="S200" s="121"/>
      <c r="T200" s="175"/>
      <c r="U200" s="121"/>
      <c r="V200" s="121"/>
      <c r="W200" s="121"/>
      <c r="X200" s="121"/>
      <c r="Y200" s="139"/>
      <c r="Z200" s="139"/>
      <c r="AA200" s="139"/>
      <c r="AB200" s="50"/>
      <c r="AC200" s="50"/>
      <c r="AD200" s="174" t="s">
        <v>372</v>
      </c>
      <c r="AE200" s="268" t="s">
        <v>479</v>
      </c>
      <c r="AF200" s="281" t="s">
        <v>471</v>
      </c>
      <c r="AG200" s="268">
        <v>40</v>
      </c>
      <c r="AH200" s="225" t="e">
        <f>NA()</f>
        <v>#N/A</v>
      </c>
      <c r="AI200" s="299">
        <v>17.100000000000001</v>
      </c>
      <c r="AJ200" s="303">
        <v>30</v>
      </c>
      <c r="AK200" s="301">
        <v>75.062524635254931</v>
      </c>
      <c r="AL200" s="302">
        <f t="shared" si="60"/>
        <v>56.296893476441198</v>
      </c>
      <c r="AM200" s="52"/>
      <c r="AN200" s="238"/>
      <c r="AO200" s="270" t="s">
        <v>188</v>
      </c>
      <c r="AP200" s="272" t="s">
        <v>480</v>
      </c>
      <c r="AQ200" s="272">
        <v>94.244915160000005</v>
      </c>
      <c r="AR200" s="275">
        <v>0.32300000000000001</v>
      </c>
      <c r="AS200" s="276">
        <v>0.38</v>
      </c>
      <c r="AT200" s="277">
        <f>AR199</f>
        <v>0.34200000000000003</v>
      </c>
      <c r="AU200" s="277">
        <f>AR200</f>
        <v>0.32300000000000001</v>
      </c>
      <c r="AV200" s="84">
        <v>18.399999999999999</v>
      </c>
      <c r="AW200" s="56"/>
      <c r="AX200" s="56"/>
      <c r="AY200" s="56"/>
      <c r="AZ200" s="56"/>
      <c r="BA200" s="56"/>
      <c r="BB200" s="56"/>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c r="ID200" s="28"/>
      <c r="IE200" s="28"/>
      <c r="IF200" s="28"/>
      <c r="IG200" s="28"/>
      <c r="IH200" s="28"/>
      <c r="II200" s="28"/>
      <c r="IJ200" s="28"/>
      <c r="IK200" s="28"/>
      <c r="IL200" s="28"/>
      <c r="IM200" s="28"/>
      <c r="IN200" s="28"/>
      <c r="IO200" s="28"/>
      <c r="IP200" s="28"/>
      <c r="IQ200" s="28"/>
      <c r="IR200" s="28"/>
      <c r="IS200" s="28"/>
      <c r="IT200" s="28"/>
      <c r="IU200" s="28"/>
      <c r="IV200" s="28"/>
      <c r="IW200" s="28"/>
    </row>
    <row r="201" spans="1:257" s="27" customFormat="1" ht="17.25" hidden="1" customHeight="1">
      <c r="A201" s="28"/>
      <c r="B201" s="140"/>
      <c r="C201" s="141"/>
      <c r="D201" s="141"/>
      <c r="E201" s="141"/>
      <c r="F201" s="141"/>
      <c r="G201" s="141"/>
      <c r="H201" s="141"/>
      <c r="I201" s="141"/>
      <c r="J201" s="141"/>
      <c r="K201" s="141"/>
      <c r="L201" s="141"/>
      <c r="M201" s="141"/>
      <c r="N201" s="141"/>
      <c r="O201" s="141"/>
      <c r="P201" s="141"/>
      <c r="Q201" s="141"/>
      <c r="R201" s="141"/>
      <c r="S201" s="121"/>
      <c r="T201" s="176"/>
      <c r="U201" s="121"/>
      <c r="V201" s="121"/>
      <c r="W201" s="121"/>
      <c r="X201" s="121"/>
      <c r="Y201" s="142"/>
      <c r="Z201" s="142"/>
      <c r="AA201" s="143"/>
      <c r="AB201" s="98"/>
      <c r="AC201" s="98"/>
      <c r="AD201" s="174" t="s">
        <v>372</v>
      </c>
      <c r="AE201" s="268" t="s">
        <v>481</v>
      </c>
      <c r="AF201" s="281" t="s">
        <v>471</v>
      </c>
      <c r="AG201" s="268">
        <v>40</v>
      </c>
      <c r="AH201" s="225" t="e">
        <f>NA()</f>
        <v>#N/A</v>
      </c>
      <c r="AI201" s="299">
        <v>17.100000000000001</v>
      </c>
      <c r="AJ201" s="303">
        <v>30</v>
      </c>
      <c r="AK201" s="301">
        <v>75.062524635254931</v>
      </c>
      <c r="AL201" s="302">
        <f t="shared" si="60"/>
        <v>56.296893476441198</v>
      </c>
      <c r="AM201" s="52"/>
      <c r="AN201" s="238"/>
      <c r="AO201" s="270" t="s">
        <v>190</v>
      </c>
      <c r="AP201" s="272" t="s">
        <v>482</v>
      </c>
      <c r="AQ201" s="272">
        <v>26.324192310000001</v>
      </c>
      <c r="AR201" s="275">
        <v>0.34200000000000003</v>
      </c>
      <c r="AS201" s="276">
        <v>0.38</v>
      </c>
      <c r="AT201" s="277">
        <f>AR201</f>
        <v>0.34200000000000003</v>
      </c>
      <c r="AU201" s="277">
        <f>AR202</f>
        <v>0.32300000000000001</v>
      </c>
      <c r="AV201" s="84">
        <v>10.53</v>
      </c>
      <c r="AW201" s="86"/>
      <c r="AX201" s="86"/>
      <c r="AY201" s="86"/>
      <c r="AZ201" s="86"/>
      <c r="BA201" s="86"/>
      <c r="BB201" s="86"/>
    </row>
    <row r="202" spans="1:257" s="27" customFormat="1" ht="17.25" hidden="1" customHeight="1">
      <c r="A202" s="28"/>
      <c r="B202" s="140"/>
      <c r="C202" s="140"/>
      <c r="D202" s="140"/>
      <c r="E202" s="140"/>
      <c r="F202" s="140"/>
      <c r="G202" s="140"/>
      <c r="H202" s="140"/>
      <c r="I202" s="140"/>
      <c r="J202" s="140"/>
      <c r="K202" s="140"/>
      <c r="L202" s="140"/>
      <c r="M202" s="140"/>
      <c r="N202" s="140"/>
      <c r="O202" s="140"/>
      <c r="P202" s="140"/>
      <c r="Q202" s="140"/>
      <c r="R202" s="140"/>
      <c r="S202" s="121"/>
      <c r="T202" s="121"/>
      <c r="U202" s="121"/>
      <c r="V202" s="121"/>
      <c r="W202" s="121"/>
      <c r="X202" s="121"/>
      <c r="Y202" s="145"/>
      <c r="Z202" s="145"/>
      <c r="AA202" s="146"/>
      <c r="AB202" s="98"/>
      <c r="AC202" s="98"/>
      <c r="AD202" s="174" t="s">
        <v>372</v>
      </c>
      <c r="AE202" s="268" t="s">
        <v>483</v>
      </c>
      <c r="AF202" s="281" t="s">
        <v>432</v>
      </c>
      <c r="AG202" s="268">
        <v>15</v>
      </c>
      <c r="AH202" s="225" t="e">
        <f>NA()</f>
        <v>#N/A</v>
      </c>
      <c r="AI202" s="299">
        <v>15.2</v>
      </c>
      <c r="AJ202" s="299">
        <v>16.14</v>
      </c>
      <c r="AK202" s="301">
        <v>45.932261736178134</v>
      </c>
      <c r="AL202" s="302">
        <f t="shared" si="60"/>
        <v>34.449196302133601</v>
      </c>
      <c r="AM202" s="52"/>
      <c r="AN202" s="238"/>
      <c r="AO202" s="270" t="s">
        <v>190</v>
      </c>
      <c r="AP202" s="271" t="s">
        <v>484</v>
      </c>
      <c r="AQ202" s="271">
        <v>74.847605770000001</v>
      </c>
      <c r="AR202" s="275">
        <v>0.32300000000000001</v>
      </c>
      <c r="AS202" s="276">
        <v>0.38</v>
      </c>
      <c r="AT202" s="277">
        <f>AR201</f>
        <v>0.34200000000000003</v>
      </c>
      <c r="AU202" s="277">
        <f>AR202</f>
        <v>0.32300000000000001</v>
      </c>
      <c r="AV202" s="84">
        <v>18.399999999999999</v>
      </c>
      <c r="AW202" s="86"/>
      <c r="AX202" s="86"/>
      <c r="AY202" s="86"/>
      <c r="AZ202" s="86"/>
      <c r="BA202" s="86"/>
      <c r="BB202" s="86"/>
    </row>
    <row r="203" spans="1:257" s="27" customFormat="1" ht="17.25" hidden="1" customHeight="1">
      <c r="B203" s="147"/>
      <c r="C203" s="147"/>
      <c r="D203" s="147"/>
      <c r="E203" s="147"/>
      <c r="F203" s="147"/>
      <c r="G203" s="147"/>
      <c r="H203" s="147"/>
      <c r="I203" s="147"/>
      <c r="J203" s="147"/>
      <c r="K203" s="147"/>
      <c r="L203" s="147"/>
      <c r="M203" s="147"/>
      <c r="N203" s="147"/>
      <c r="O203" s="147"/>
      <c r="P203" s="147"/>
      <c r="Q203" s="147"/>
      <c r="R203" s="147"/>
      <c r="S203" s="121"/>
      <c r="T203" s="121"/>
      <c r="U203" s="121"/>
      <c r="V203" s="121"/>
      <c r="W203" s="121"/>
      <c r="X203" s="121"/>
      <c r="AB203" s="98"/>
      <c r="AC203" s="98"/>
      <c r="AD203" s="174" t="s">
        <v>372</v>
      </c>
      <c r="AE203" s="268" t="s">
        <v>485</v>
      </c>
      <c r="AF203" s="281" t="s">
        <v>432</v>
      </c>
      <c r="AG203" s="268">
        <v>15</v>
      </c>
      <c r="AH203" s="225" t="e">
        <f>NA()</f>
        <v>#N/A</v>
      </c>
      <c r="AI203" s="299">
        <v>15.2</v>
      </c>
      <c r="AJ203" s="299">
        <v>16.14</v>
      </c>
      <c r="AK203" s="301">
        <v>45.932261736178134</v>
      </c>
      <c r="AL203" s="302">
        <f t="shared" si="60"/>
        <v>34.449196302133601</v>
      </c>
      <c r="AM203" s="52"/>
      <c r="AN203" s="238" t="s">
        <v>486</v>
      </c>
      <c r="AO203" s="270" t="s">
        <v>192</v>
      </c>
      <c r="AP203" s="271" t="s">
        <v>487</v>
      </c>
      <c r="AQ203" s="271">
        <v>101.39077810000001</v>
      </c>
      <c r="AR203" s="275">
        <v>0.45</v>
      </c>
      <c r="AS203" s="276">
        <v>0.5</v>
      </c>
      <c r="AT203" s="277">
        <f>AR203</f>
        <v>0.45</v>
      </c>
      <c r="AU203" s="277">
        <f>AR204</f>
        <v>0.42499999999999999</v>
      </c>
      <c r="AV203" s="84">
        <v>8.11</v>
      </c>
      <c r="AW203" s="86"/>
      <c r="AX203" s="86"/>
      <c r="AY203" s="86"/>
      <c r="AZ203" s="86"/>
      <c r="BA203" s="86"/>
      <c r="BB203" s="86"/>
    </row>
    <row r="204" spans="1:257" s="27" customFormat="1" ht="17.25" hidden="1" customHeight="1">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8"/>
      <c r="Y204" s="149"/>
      <c r="Z204" s="149"/>
      <c r="AA204" s="150"/>
      <c r="AB204" s="98"/>
      <c r="AC204" s="98"/>
      <c r="AD204" s="174" t="s">
        <v>372</v>
      </c>
      <c r="AE204" s="268" t="s">
        <v>488</v>
      </c>
      <c r="AF204" s="281" t="s">
        <v>432</v>
      </c>
      <c r="AG204" s="268">
        <v>15</v>
      </c>
      <c r="AH204" s="225" t="e">
        <f>NA()</f>
        <v>#N/A</v>
      </c>
      <c r="AI204" s="299">
        <v>15.2</v>
      </c>
      <c r="AJ204" s="299">
        <v>16.14</v>
      </c>
      <c r="AK204" s="301">
        <v>45.932261736178134</v>
      </c>
      <c r="AL204" s="302">
        <f t="shared" si="60"/>
        <v>34.449196302133601</v>
      </c>
      <c r="AM204" s="52"/>
      <c r="AN204" s="238" t="s">
        <v>486</v>
      </c>
      <c r="AO204" s="270" t="s">
        <v>192</v>
      </c>
      <c r="AP204" s="271" t="s">
        <v>489</v>
      </c>
      <c r="AQ204" s="271">
        <v>185.4184443</v>
      </c>
      <c r="AR204" s="275">
        <v>0.42499999999999999</v>
      </c>
      <c r="AS204" s="276">
        <v>0.5</v>
      </c>
      <c r="AT204" s="277">
        <f>AR203</f>
        <v>0.45</v>
      </c>
      <c r="AU204" s="277">
        <f>AR204</f>
        <v>0.42499999999999999</v>
      </c>
      <c r="AV204" s="84">
        <v>14.83</v>
      </c>
      <c r="AW204" s="86"/>
      <c r="AX204" s="86"/>
      <c r="AY204" s="86"/>
      <c r="AZ204" s="86"/>
      <c r="BA204" s="86"/>
      <c r="BB204" s="86"/>
    </row>
    <row r="205" spans="1:257" s="1" customFormat="1" ht="17.25" hidden="1" customHeight="1">
      <c r="A205" s="27"/>
      <c r="B205" s="27"/>
      <c r="C205" s="27"/>
      <c r="D205" s="27"/>
      <c r="E205" s="27"/>
      <c r="F205" s="151"/>
      <c r="G205" s="151"/>
      <c r="H205" s="151"/>
      <c r="I205" s="151"/>
      <c r="J205" s="151"/>
      <c r="K205" s="151"/>
      <c r="L205" s="151"/>
      <c r="M205" s="151"/>
      <c r="N205" s="151"/>
      <c r="O205" s="151"/>
      <c r="P205" s="151"/>
      <c r="Q205" s="151"/>
      <c r="R205" s="151"/>
      <c r="S205" s="151"/>
      <c r="T205" s="151"/>
      <c r="U205" s="151"/>
      <c r="V205" s="152"/>
      <c r="W205" s="152"/>
      <c r="X205" s="151"/>
      <c r="Y205" s="151"/>
      <c r="Z205" s="151"/>
      <c r="AA205" s="151"/>
      <c r="AB205" s="50"/>
      <c r="AC205" s="50"/>
      <c r="AD205" s="174" t="s">
        <v>372</v>
      </c>
      <c r="AE205" s="268" t="s">
        <v>490</v>
      </c>
      <c r="AF205" s="281" t="s">
        <v>432</v>
      </c>
      <c r="AG205" s="268">
        <v>15</v>
      </c>
      <c r="AH205" s="225" t="e">
        <f>NA()</f>
        <v>#N/A</v>
      </c>
      <c r="AI205" s="299">
        <v>15.2</v>
      </c>
      <c r="AJ205" s="299">
        <v>16.14</v>
      </c>
      <c r="AK205" s="301">
        <v>45.932261736178134</v>
      </c>
      <c r="AL205" s="302">
        <f t="shared" si="60"/>
        <v>34.449196302133601</v>
      </c>
      <c r="AM205" s="52"/>
      <c r="AN205" s="238" t="s">
        <v>486</v>
      </c>
      <c r="AO205" s="270" t="s">
        <v>194</v>
      </c>
      <c r="AP205" s="271" t="s">
        <v>491</v>
      </c>
      <c r="AQ205" s="271">
        <v>90.059864640000001</v>
      </c>
      <c r="AR205" s="275">
        <v>0.441</v>
      </c>
      <c r="AS205" s="276">
        <v>0.49</v>
      </c>
      <c r="AT205" s="277">
        <f>AR205</f>
        <v>0.441</v>
      </c>
      <c r="AU205" s="277">
        <f>AR206</f>
        <v>0.41649999999999998</v>
      </c>
      <c r="AV205" s="84">
        <v>7.2</v>
      </c>
      <c r="AW205" s="56"/>
      <c r="AX205" s="56"/>
      <c r="AY205" s="56"/>
      <c r="AZ205" s="56"/>
      <c r="BA205" s="56"/>
      <c r="BB205" s="56"/>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c r="IO205" s="28"/>
      <c r="IP205" s="28"/>
      <c r="IQ205" s="28"/>
      <c r="IR205" s="28"/>
      <c r="IS205" s="28"/>
      <c r="IT205" s="28"/>
      <c r="IU205" s="28"/>
      <c r="IV205" s="28"/>
      <c r="IW205" s="28"/>
    </row>
    <row r="206" spans="1:257" s="1" customFormat="1" ht="17.25" hidden="1" customHeight="1">
      <c r="A206" s="27"/>
      <c r="B206" s="27"/>
      <c r="C206" s="27"/>
      <c r="D206" s="27"/>
      <c r="E206" s="27"/>
      <c r="F206" s="152"/>
      <c r="G206" s="152"/>
      <c r="H206" s="152"/>
      <c r="I206" s="152"/>
      <c r="J206" s="152"/>
      <c r="K206" s="152"/>
      <c r="L206" s="152"/>
      <c r="M206" s="152"/>
      <c r="N206" s="152"/>
      <c r="O206" s="152"/>
      <c r="P206" s="152"/>
      <c r="Q206" s="152"/>
      <c r="R206" s="152"/>
      <c r="S206" s="152"/>
      <c r="T206" s="152"/>
      <c r="U206" s="152"/>
      <c r="V206" s="152"/>
      <c r="W206" s="152"/>
      <c r="X206" s="151"/>
      <c r="Y206" s="151"/>
      <c r="Z206" s="151"/>
      <c r="AA206" s="151"/>
      <c r="AB206" s="50"/>
      <c r="AC206" s="50"/>
      <c r="AD206" s="174" t="s">
        <v>372</v>
      </c>
      <c r="AE206" s="268" t="s">
        <v>492</v>
      </c>
      <c r="AF206" s="281" t="s">
        <v>432</v>
      </c>
      <c r="AG206" s="268">
        <v>15</v>
      </c>
      <c r="AH206" s="225" t="e">
        <f>NA()</f>
        <v>#N/A</v>
      </c>
      <c r="AI206" s="299">
        <v>15.2</v>
      </c>
      <c r="AJ206" s="299">
        <v>16.14</v>
      </c>
      <c r="AK206" s="301">
        <v>45.932261736178134</v>
      </c>
      <c r="AL206" s="302">
        <f t="shared" si="60"/>
        <v>34.449196302133601</v>
      </c>
      <c r="AM206" s="52"/>
      <c r="AN206" s="238" t="s">
        <v>486</v>
      </c>
      <c r="AO206" s="270" t="s">
        <v>194</v>
      </c>
      <c r="AP206" s="271" t="s">
        <v>493</v>
      </c>
      <c r="AQ206" s="271">
        <v>153.58384770000001</v>
      </c>
      <c r="AR206" s="275">
        <v>0.41649999999999998</v>
      </c>
      <c r="AS206" s="276">
        <v>0.49</v>
      </c>
      <c r="AT206" s="277">
        <f>AR205</f>
        <v>0.441</v>
      </c>
      <c r="AU206" s="277">
        <f>AR206</f>
        <v>0.41649999999999998</v>
      </c>
      <c r="AV206" s="84">
        <v>12.29</v>
      </c>
      <c r="AW206" s="56"/>
      <c r="AX206" s="56"/>
      <c r="AY206" s="56"/>
      <c r="AZ206" s="56"/>
      <c r="BA206" s="56"/>
      <c r="BB206" s="56"/>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c r="IO206" s="28"/>
      <c r="IP206" s="28"/>
      <c r="IQ206" s="28"/>
      <c r="IR206" s="28"/>
      <c r="IS206" s="28"/>
      <c r="IT206" s="28"/>
      <c r="IU206" s="28"/>
      <c r="IV206" s="28"/>
      <c r="IW206" s="28"/>
    </row>
    <row r="207" spans="1:257" s="1" customFormat="1" ht="17.25" hidden="1" customHeight="1">
      <c r="A207" s="28"/>
      <c r="B207" s="28"/>
      <c r="C207" s="28"/>
      <c r="D207" s="28"/>
      <c r="E207" s="28"/>
      <c r="F207" s="153"/>
      <c r="G207" s="153"/>
      <c r="H207" s="153"/>
      <c r="I207" s="153"/>
      <c r="J207" s="153"/>
      <c r="K207" s="153"/>
      <c r="L207" s="153"/>
      <c r="M207" s="153"/>
      <c r="N207" s="153"/>
      <c r="O207" s="153"/>
      <c r="P207" s="153"/>
      <c r="Q207" s="153"/>
      <c r="R207" s="153"/>
      <c r="S207" s="153"/>
      <c r="T207" s="153"/>
      <c r="U207" s="153"/>
      <c r="V207" s="154"/>
      <c r="W207" s="153"/>
      <c r="X207" s="28"/>
      <c r="Y207" s="144"/>
      <c r="Z207" s="144"/>
      <c r="AA207" s="144"/>
      <c r="AB207" s="50"/>
      <c r="AC207" s="50"/>
      <c r="AD207" s="174" t="s">
        <v>372</v>
      </c>
      <c r="AE207" s="268" t="s">
        <v>494</v>
      </c>
      <c r="AF207" s="281" t="s">
        <v>432</v>
      </c>
      <c r="AG207" s="268">
        <v>15</v>
      </c>
      <c r="AH207" s="225" t="e">
        <f>NA()</f>
        <v>#N/A</v>
      </c>
      <c r="AI207" s="299">
        <v>15.2</v>
      </c>
      <c r="AJ207" s="299">
        <v>16.14</v>
      </c>
      <c r="AK207" s="301">
        <v>45.932261736178134</v>
      </c>
      <c r="AL207" s="302">
        <f t="shared" si="60"/>
        <v>34.449196302133601</v>
      </c>
      <c r="AM207" s="52"/>
      <c r="AN207" s="238" t="s">
        <v>495</v>
      </c>
      <c r="AO207" s="270" t="s">
        <v>196</v>
      </c>
      <c r="AP207" s="271" t="s">
        <v>496</v>
      </c>
      <c r="AQ207" s="271">
        <v>77.441518490000007</v>
      </c>
      <c r="AR207" s="275">
        <v>0.39600000000000002</v>
      </c>
      <c r="AS207" s="276">
        <v>0.44</v>
      </c>
      <c r="AT207" s="277">
        <f>AR207</f>
        <v>0.39600000000000002</v>
      </c>
      <c r="AU207" s="277">
        <f>AR208</f>
        <v>0.374</v>
      </c>
      <c r="AV207" s="84">
        <v>6.2</v>
      </c>
      <c r="AW207" s="56"/>
      <c r="AX207" s="56"/>
      <c r="AY207" s="56"/>
      <c r="AZ207" s="56"/>
      <c r="BA207" s="56"/>
      <c r="BB207" s="56"/>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c r="IO207" s="28"/>
      <c r="IP207" s="28"/>
      <c r="IQ207" s="28"/>
      <c r="IR207" s="28"/>
      <c r="IS207" s="28"/>
      <c r="IT207" s="28"/>
      <c r="IU207" s="28"/>
      <c r="IV207" s="28"/>
      <c r="IW207" s="28"/>
    </row>
    <row r="208" spans="1:257" s="1" customFormat="1" ht="17.25" hidden="1" customHeight="1">
      <c r="A208" s="28"/>
      <c r="B208" s="28"/>
      <c r="C208" s="28"/>
      <c r="D208" s="28"/>
      <c r="E208" s="28"/>
      <c r="F208" s="155"/>
      <c r="G208" s="155"/>
      <c r="H208" s="155"/>
      <c r="I208" s="155"/>
      <c r="J208" s="155"/>
      <c r="K208" s="155"/>
      <c r="L208" s="155"/>
      <c r="M208" s="155"/>
      <c r="N208" s="155"/>
      <c r="O208" s="155"/>
      <c r="P208" s="155"/>
      <c r="Q208" s="155"/>
      <c r="R208" s="155"/>
      <c r="S208" s="155"/>
      <c r="T208" s="155"/>
      <c r="U208" s="155"/>
      <c r="V208" s="155"/>
      <c r="W208" s="155"/>
      <c r="X208" s="156"/>
      <c r="Y208" s="144"/>
      <c r="Z208" s="144"/>
      <c r="AA208" s="144"/>
      <c r="AB208" s="50"/>
      <c r="AC208" s="50"/>
      <c r="AD208" s="174" t="s">
        <v>372</v>
      </c>
      <c r="AE208" s="268" t="s">
        <v>497</v>
      </c>
      <c r="AF208" s="281" t="s">
        <v>453</v>
      </c>
      <c r="AG208" s="268">
        <v>30</v>
      </c>
      <c r="AH208" s="225" t="e">
        <f>NA()</f>
        <v>#N/A</v>
      </c>
      <c r="AI208" s="299">
        <v>16.149999999999999</v>
      </c>
      <c r="AJ208" s="299">
        <v>17.09</v>
      </c>
      <c r="AK208" s="301">
        <v>94.416315791032957</v>
      </c>
      <c r="AL208" s="302">
        <f t="shared" si="60"/>
        <v>70.812236843274718</v>
      </c>
      <c r="AM208" s="52"/>
      <c r="AN208" s="238" t="s">
        <v>495</v>
      </c>
      <c r="AO208" s="270" t="s">
        <v>196</v>
      </c>
      <c r="AP208" s="271" t="s">
        <v>498</v>
      </c>
      <c r="AQ208" s="271">
        <v>129.7217972</v>
      </c>
      <c r="AR208" s="275">
        <v>0.374</v>
      </c>
      <c r="AS208" s="276">
        <v>0.44</v>
      </c>
      <c r="AT208" s="277">
        <f>AR207</f>
        <v>0.39600000000000002</v>
      </c>
      <c r="AU208" s="277">
        <f>AR208</f>
        <v>0.374</v>
      </c>
      <c r="AV208" s="84">
        <v>10.38</v>
      </c>
      <c r="AW208" s="56"/>
      <c r="AX208" s="56"/>
      <c r="AY208" s="56"/>
      <c r="AZ208" s="56"/>
      <c r="BA208" s="56"/>
      <c r="BB208" s="56"/>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c r="IO208" s="28"/>
      <c r="IP208" s="28"/>
      <c r="IQ208" s="28"/>
      <c r="IR208" s="28"/>
      <c r="IS208" s="28"/>
      <c r="IT208" s="28"/>
      <c r="IU208" s="28"/>
      <c r="IV208" s="28"/>
      <c r="IW208" s="28"/>
    </row>
    <row r="209" spans="1:257" s="1" customFormat="1" ht="17.25" hidden="1"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28"/>
      <c r="W209" s="155"/>
      <c r="X209" s="153"/>
      <c r="Y209" s="157"/>
      <c r="Z209" s="157"/>
      <c r="AA209" s="156"/>
      <c r="AB209" s="50"/>
      <c r="AC209" s="50"/>
      <c r="AD209" s="174" t="s">
        <v>372</v>
      </c>
      <c r="AE209" s="268" t="s">
        <v>499</v>
      </c>
      <c r="AF209" s="281" t="s">
        <v>453</v>
      </c>
      <c r="AG209" s="268">
        <v>30</v>
      </c>
      <c r="AH209" s="225" t="e">
        <f>NA()</f>
        <v>#N/A</v>
      </c>
      <c r="AI209" s="299">
        <v>16.149999999999999</v>
      </c>
      <c r="AJ209" s="299">
        <v>17.09</v>
      </c>
      <c r="AK209" s="301">
        <v>94.416315791032957</v>
      </c>
      <c r="AL209" s="302">
        <f t="shared" si="60"/>
        <v>70.812236843274718</v>
      </c>
      <c r="AM209" s="52"/>
      <c r="AN209" s="238" t="s">
        <v>500</v>
      </c>
      <c r="AO209" s="270" t="s">
        <v>198</v>
      </c>
      <c r="AP209" s="271" t="s">
        <v>501</v>
      </c>
      <c r="AQ209" s="271">
        <v>63.535739640000003</v>
      </c>
      <c r="AR209" s="275">
        <v>0.36899999999999999</v>
      </c>
      <c r="AS209" s="276">
        <v>0.41</v>
      </c>
      <c r="AT209" s="277">
        <f>AR209</f>
        <v>0.36899999999999999</v>
      </c>
      <c r="AU209" s="277">
        <f>AR210</f>
        <v>0.34849999999999998</v>
      </c>
      <c r="AV209" s="84">
        <v>5.08</v>
      </c>
      <c r="AW209" s="56"/>
      <c r="AX209" s="56"/>
      <c r="AY209" s="56"/>
      <c r="AZ209" s="56"/>
      <c r="BA209" s="56"/>
      <c r="BB209" s="56"/>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c r="IO209" s="28"/>
      <c r="IP209" s="28"/>
      <c r="IQ209" s="28"/>
      <c r="IR209" s="28"/>
      <c r="IS209" s="28"/>
      <c r="IT209" s="28"/>
      <c r="IU209" s="28"/>
      <c r="IV209" s="28"/>
      <c r="IW209" s="28"/>
    </row>
    <row r="210" spans="1:257" s="1" customFormat="1" ht="17.25" hidden="1" customHeight="1">
      <c r="A210" s="28"/>
      <c r="B210" s="28"/>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50"/>
      <c r="AC210" s="50"/>
      <c r="AD210" s="174" t="s">
        <v>372</v>
      </c>
      <c r="AE210" s="268" t="s">
        <v>502</v>
      </c>
      <c r="AF210" s="281" t="s">
        <v>453</v>
      </c>
      <c r="AG210" s="268">
        <v>30</v>
      </c>
      <c r="AH210" s="225" t="e">
        <f>NA()</f>
        <v>#N/A</v>
      </c>
      <c r="AI210" s="299">
        <v>16.149999999999999</v>
      </c>
      <c r="AJ210" s="299">
        <v>17.09</v>
      </c>
      <c r="AK210" s="301">
        <v>94.416315791032957</v>
      </c>
      <c r="AL210" s="302">
        <f t="shared" si="60"/>
        <v>70.812236843274718</v>
      </c>
      <c r="AM210" s="52"/>
      <c r="AN210" s="238" t="s">
        <v>500</v>
      </c>
      <c r="AO210" s="270" t="s">
        <v>198</v>
      </c>
      <c r="AP210" s="271" t="s">
        <v>503</v>
      </c>
      <c r="AQ210" s="271">
        <v>113.8322929</v>
      </c>
      <c r="AR210" s="275">
        <v>0.34849999999999998</v>
      </c>
      <c r="AS210" s="276">
        <v>0.41</v>
      </c>
      <c r="AT210" s="277">
        <f>AR209</f>
        <v>0.36899999999999999</v>
      </c>
      <c r="AU210" s="277">
        <f>AR210</f>
        <v>0.34849999999999998</v>
      </c>
      <c r="AV210" s="84">
        <v>9.11</v>
      </c>
      <c r="AW210" s="56"/>
      <c r="AX210" s="56"/>
      <c r="AY210" s="56"/>
      <c r="AZ210" s="56"/>
      <c r="BA210" s="56"/>
      <c r="BB210" s="56"/>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c r="GV210" s="28"/>
      <c r="GW210" s="28"/>
      <c r="GX210" s="28"/>
      <c r="GY210" s="28"/>
      <c r="GZ210" s="28"/>
      <c r="HA210" s="28"/>
      <c r="HB210" s="28"/>
      <c r="HC210" s="28"/>
      <c r="HD210" s="28"/>
      <c r="HE210" s="28"/>
      <c r="HF210" s="28"/>
      <c r="HG210" s="28"/>
      <c r="HH210" s="28"/>
      <c r="HI210" s="28"/>
      <c r="HJ210" s="28"/>
      <c r="HK210" s="28"/>
      <c r="HL210" s="28"/>
      <c r="HM210" s="28"/>
      <c r="HN210" s="28"/>
      <c r="HO210" s="28"/>
      <c r="HP210" s="28"/>
      <c r="HQ210" s="28"/>
      <c r="HR210" s="28"/>
      <c r="HS210" s="28"/>
      <c r="HT210" s="28"/>
      <c r="HU210" s="28"/>
      <c r="HV210" s="28"/>
      <c r="HW210" s="28"/>
      <c r="HX210" s="28"/>
      <c r="HY210" s="28"/>
      <c r="HZ210" s="28"/>
      <c r="IA210" s="28"/>
      <c r="IB210" s="28"/>
      <c r="IC210" s="28"/>
      <c r="ID210" s="28"/>
      <c r="IE210" s="28"/>
      <c r="IF210" s="28"/>
      <c r="IG210" s="28"/>
      <c r="IH210" s="28"/>
      <c r="II210" s="28"/>
      <c r="IJ210" s="28"/>
      <c r="IK210" s="28"/>
      <c r="IL210" s="28"/>
      <c r="IM210" s="28"/>
      <c r="IN210" s="28"/>
      <c r="IO210" s="28"/>
      <c r="IP210" s="28"/>
      <c r="IQ210" s="28"/>
      <c r="IR210" s="28"/>
      <c r="IS210" s="28"/>
      <c r="IT210" s="28"/>
      <c r="IU210" s="28"/>
      <c r="IV210" s="28"/>
      <c r="IW210" s="28"/>
    </row>
    <row r="211" spans="1:257" s="1" customFormat="1" ht="16.899999999999999" hidden="1" customHeight="1">
      <c r="A211" s="158"/>
      <c r="B211" s="158"/>
      <c r="C211" s="158"/>
      <c r="D211" s="158"/>
      <c r="E211" s="158"/>
      <c r="F211" s="28"/>
      <c r="G211" s="28"/>
      <c r="H211" s="28"/>
      <c r="I211" s="28"/>
      <c r="J211" s="28"/>
      <c r="K211" s="28"/>
      <c r="L211" s="28"/>
      <c r="M211" s="28"/>
      <c r="N211" s="28"/>
      <c r="O211" s="28"/>
      <c r="P211" s="28"/>
      <c r="Q211" s="28"/>
      <c r="R211" s="28"/>
      <c r="S211" s="28"/>
      <c r="T211" s="28"/>
      <c r="U211" s="28"/>
      <c r="V211" s="28"/>
      <c r="W211" s="28"/>
      <c r="X211" s="28"/>
      <c r="Y211" s="28"/>
      <c r="Z211" s="28"/>
      <c r="AA211" s="28"/>
      <c r="AB211" s="50"/>
      <c r="AC211" s="50"/>
      <c r="AD211" s="174" t="s">
        <v>372</v>
      </c>
      <c r="AE211" s="268" t="s">
        <v>504</v>
      </c>
      <c r="AF211" s="281" t="s">
        <v>453</v>
      </c>
      <c r="AG211" s="268">
        <v>30</v>
      </c>
      <c r="AH211" s="225" t="e">
        <f>NA()</f>
        <v>#N/A</v>
      </c>
      <c r="AI211" s="299">
        <v>16.149999999999999</v>
      </c>
      <c r="AJ211" s="299">
        <v>17.09</v>
      </c>
      <c r="AK211" s="301">
        <v>94.416315791032957</v>
      </c>
      <c r="AL211" s="302">
        <f t="shared" si="60"/>
        <v>70.812236843274718</v>
      </c>
      <c r="AM211" s="52"/>
      <c r="AN211" s="238" t="s">
        <v>500</v>
      </c>
      <c r="AO211" s="270" t="s">
        <v>200</v>
      </c>
      <c r="AP211" s="271" t="s">
        <v>505</v>
      </c>
      <c r="AQ211" s="271">
        <v>48.342528110000003</v>
      </c>
      <c r="AR211" s="275">
        <v>0.34200000000000003</v>
      </c>
      <c r="AS211" s="276">
        <v>0.38</v>
      </c>
      <c r="AT211" s="277">
        <f>AR211</f>
        <v>0.34200000000000003</v>
      </c>
      <c r="AU211" s="277">
        <f>AR212</f>
        <v>0.32300000000000001</v>
      </c>
      <c r="AV211" s="84">
        <v>3.87</v>
      </c>
      <c r="AW211" s="56"/>
      <c r="AX211" s="56"/>
      <c r="AY211" s="56"/>
      <c r="AZ211" s="56"/>
      <c r="BA211" s="56"/>
      <c r="BB211" s="56"/>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c r="ID211" s="28"/>
      <c r="IE211" s="28"/>
      <c r="IF211" s="28"/>
      <c r="IG211" s="28"/>
      <c r="IH211" s="28"/>
      <c r="II211" s="28"/>
      <c r="IJ211" s="28"/>
      <c r="IK211" s="28"/>
      <c r="IL211" s="28"/>
      <c r="IM211" s="28"/>
      <c r="IN211" s="28"/>
      <c r="IO211" s="28"/>
      <c r="IP211" s="28"/>
      <c r="IQ211" s="28"/>
      <c r="IR211" s="28"/>
      <c r="IS211" s="28"/>
      <c r="IT211" s="28"/>
      <c r="IU211" s="28"/>
      <c r="IV211" s="28"/>
      <c r="IW211" s="28"/>
    </row>
    <row r="212" spans="1:257" s="1" customFormat="1" ht="16.899999999999999" hidden="1" customHeight="1">
      <c r="A212" s="159"/>
      <c r="B212" s="158"/>
      <c r="C212" s="158"/>
      <c r="D212" s="158"/>
      <c r="E212" s="158"/>
      <c r="F212" s="28"/>
      <c r="G212" s="28"/>
      <c r="H212" s="28"/>
      <c r="I212" s="28"/>
      <c r="J212" s="28"/>
      <c r="K212" s="28"/>
      <c r="L212" s="28"/>
      <c r="M212" s="28"/>
      <c r="N212" s="28"/>
      <c r="O212" s="28"/>
      <c r="P212" s="28"/>
      <c r="Q212" s="28"/>
      <c r="R212" s="28"/>
      <c r="S212" s="28"/>
      <c r="T212" s="28"/>
      <c r="U212" s="28"/>
      <c r="V212" s="28"/>
      <c r="W212" s="28"/>
      <c r="X212" s="28"/>
      <c r="Y212" s="28"/>
      <c r="Z212" s="28"/>
      <c r="AA212" s="28"/>
      <c r="AB212" s="50"/>
      <c r="AC212" s="50"/>
      <c r="AD212" s="174" t="s">
        <v>372</v>
      </c>
      <c r="AE212" s="268" t="s">
        <v>506</v>
      </c>
      <c r="AF212" s="281" t="s">
        <v>453</v>
      </c>
      <c r="AG212" s="268">
        <v>30</v>
      </c>
      <c r="AH212" s="225" t="e">
        <f>NA()</f>
        <v>#N/A</v>
      </c>
      <c r="AI212" s="299">
        <v>16.149999999999999</v>
      </c>
      <c r="AJ212" s="299">
        <v>17.09</v>
      </c>
      <c r="AK212" s="301">
        <v>94.416315791032957</v>
      </c>
      <c r="AL212" s="302">
        <f t="shared" si="60"/>
        <v>70.812236843274718</v>
      </c>
      <c r="AM212" s="52"/>
      <c r="AN212" s="238" t="s">
        <v>500</v>
      </c>
      <c r="AO212" s="270" t="s">
        <v>200</v>
      </c>
      <c r="AP212" s="271" t="s">
        <v>507</v>
      </c>
      <c r="AQ212" s="271">
        <v>105.9153347</v>
      </c>
      <c r="AR212" s="275">
        <v>0.32300000000000001</v>
      </c>
      <c r="AS212" s="276">
        <v>0.38</v>
      </c>
      <c r="AT212" s="277">
        <f>AR211</f>
        <v>0.34200000000000003</v>
      </c>
      <c r="AU212" s="277">
        <f>AR212</f>
        <v>0.32300000000000001</v>
      </c>
      <c r="AV212" s="84">
        <v>8.4700000000000006</v>
      </c>
      <c r="AW212" s="56"/>
      <c r="AX212" s="56"/>
      <c r="AY212" s="56"/>
      <c r="AZ212" s="56"/>
      <c r="BA212" s="56"/>
      <c r="BB212" s="56"/>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c r="HG212" s="28"/>
      <c r="HH212" s="28"/>
      <c r="HI212" s="28"/>
      <c r="HJ212" s="28"/>
      <c r="HK212" s="28"/>
      <c r="HL212" s="28"/>
      <c r="HM212" s="28"/>
      <c r="HN212" s="28"/>
      <c r="HO212" s="28"/>
      <c r="HP212" s="28"/>
      <c r="HQ212" s="28"/>
      <c r="HR212" s="28"/>
      <c r="HS212" s="28"/>
      <c r="HT212" s="28"/>
      <c r="HU212" s="28"/>
      <c r="HV212" s="28"/>
      <c r="HW212" s="28"/>
      <c r="HX212" s="28"/>
      <c r="HY212" s="28"/>
      <c r="HZ212" s="28"/>
      <c r="IA212" s="28"/>
      <c r="IB212" s="28"/>
      <c r="IC212" s="28"/>
      <c r="ID212" s="28"/>
      <c r="IE212" s="28"/>
      <c r="IF212" s="28"/>
      <c r="IG212" s="28"/>
      <c r="IH212" s="28"/>
      <c r="II212" s="28"/>
      <c r="IJ212" s="28"/>
      <c r="IK212" s="28"/>
      <c r="IL212" s="28"/>
      <c r="IM212" s="28"/>
      <c r="IN212" s="28"/>
      <c r="IO212" s="28"/>
      <c r="IP212" s="28"/>
      <c r="IQ212" s="28"/>
      <c r="IR212" s="28"/>
      <c r="IS212" s="28"/>
      <c r="IT212" s="28"/>
      <c r="IU212" s="28"/>
      <c r="IV212" s="28"/>
      <c r="IW212" s="28"/>
    </row>
    <row r="213" spans="1:257" s="1" customFormat="1" ht="16.899999999999999" hidden="1" customHeight="1">
      <c r="A213" s="158"/>
      <c r="B213" s="158"/>
      <c r="C213" s="158"/>
      <c r="D213" s="158"/>
      <c r="E213" s="158"/>
      <c r="F213" s="28"/>
      <c r="G213" s="28"/>
      <c r="H213" s="28"/>
      <c r="I213" s="28"/>
      <c r="J213" s="28"/>
      <c r="K213" s="28"/>
      <c r="L213" s="28"/>
      <c r="M213" s="28"/>
      <c r="N213" s="28"/>
      <c r="O213" s="28"/>
      <c r="P213" s="28"/>
      <c r="Q213" s="28"/>
      <c r="R213" s="28"/>
      <c r="S213" s="28"/>
      <c r="T213" s="28"/>
      <c r="U213" s="28"/>
      <c r="V213" s="28"/>
      <c r="W213" s="28"/>
      <c r="X213" s="28"/>
      <c r="Y213" s="28"/>
      <c r="Z213" s="28"/>
      <c r="AA213" s="28"/>
      <c r="AB213" s="50"/>
      <c r="AC213" s="50"/>
      <c r="AD213" s="174" t="s">
        <v>372</v>
      </c>
      <c r="AE213" s="268" t="s">
        <v>508</v>
      </c>
      <c r="AF213" s="281" t="s">
        <v>453</v>
      </c>
      <c r="AG213" s="268">
        <v>30</v>
      </c>
      <c r="AH213" s="225" t="e">
        <f>NA()</f>
        <v>#N/A</v>
      </c>
      <c r="AI213" s="299">
        <v>16.149999999999999</v>
      </c>
      <c r="AJ213" s="299">
        <v>17.09</v>
      </c>
      <c r="AK213" s="301">
        <v>94.416315791032957</v>
      </c>
      <c r="AL213" s="302">
        <f t="shared" si="60"/>
        <v>70.812236843274718</v>
      </c>
      <c r="AM213" s="52"/>
      <c r="AN213" s="88"/>
      <c r="AO213" s="270" t="s">
        <v>203</v>
      </c>
      <c r="AP213" s="271" t="s">
        <v>509</v>
      </c>
      <c r="AQ213" s="271">
        <v>113.35826208981743</v>
      </c>
      <c r="AR213" s="275">
        <f>TRUNC(AR219,3)</f>
        <v>0.79600000000000004</v>
      </c>
      <c r="AS213" s="275">
        <f>TRUNC(AS219,3)</f>
        <v>0.875</v>
      </c>
      <c r="AT213" s="277">
        <f>AR213</f>
        <v>0.79600000000000004</v>
      </c>
      <c r="AU213" s="277">
        <f>AR214</f>
        <v>0.72899999999999998</v>
      </c>
      <c r="AV213" s="57">
        <v>45.34</v>
      </c>
      <c r="AW213" s="56"/>
      <c r="AX213" s="56"/>
      <c r="AY213" s="56"/>
      <c r="AZ213" s="56"/>
      <c r="BA213" s="56"/>
      <c r="BB213" s="56"/>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c r="IR213" s="28"/>
      <c r="IS213" s="28"/>
      <c r="IT213" s="28"/>
      <c r="IU213" s="28"/>
      <c r="IV213" s="28"/>
      <c r="IW213" s="28"/>
    </row>
    <row r="214" spans="1:257" s="1" customFormat="1" ht="16.899999999999999" hidden="1"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50"/>
      <c r="AC214" s="50"/>
      <c r="AD214" s="174" t="s">
        <v>372</v>
      </c>
      <c r="AE214" s="268" t="s">
        <v>510</v>
      </c>
      <c r="AF214" s="281" t="s">
        <v>471</v>
      </c>
      <c r="AG214" s="268">
        <v>40</v>
      </c>
      <c r="AH214" s="225" t="e">
        <f>NA()</f>
        <v>#N/A</v>
      </c>
      <c r="AI214" s="299">
        <v>17.100000000000001</v>
      </c>
      <c r="AJ214" s="299">
        <v>30</v>
      </c>
      <c r="AK214" s="301">
        <v>142.90036984588778</v>
      </c>
      <c r="AL214" s="302">
        <f t="shared" si="60"/>
        <v>107.17527738441584</v>
      </c>
      <c r="AM214" s="52"/>
      <c r="AN214" s="88"/>
      <c r="AO214" s="270" t="s">
        <v>203</v>
      </c>
      <c r="AP214" s="271" t="s">
        <v>511</v>
      </c>
      <c r="AQ214" s="271">
        <v>204.58124999999998</v>
      </c>
      <c r="AR214" s="275">
        <f>TRUNC(AR220,3)</f>
        <v>0.72899999999999998</v>
      </c>
      <c r="AS214" s="275">
        <f t="shared" ref="AS214" si="61">TRUNC(AS220,3)</f>
        <v>0.875</v>
      </c>
      <c r="AT214" s="277">
        <f>AR213</f>
        <v>0.79600000000000004</v>
      </c>
      <c r="AU214" s="277">
        <f>AR214</f>
        <v>0.72899999999999998</v>
      </c>
      <c r="AV214" s="57">
        <v>81.83</v>
      </c>
      <c r="AW214" s="56"/>
      <c r="AX214" s="56"/>
      <c r="AY214" s="56"/>
      <c r="AZ214" s="56"/>
      <c r="BA214" s="56"/>
      <c r="BB214" s="56"/>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c r="ID214" s="28"/>
      <c r="IE214" s="28"/>
      <c r="IF214" s="28"/>
      <c r="IG214" s="28"/>
      <c r="IH214" s="28"/>
      <c r="II214" s="28"/>
      <c r="IJ214" s="28"/>
      <c r="IK214" s="28"/>
      <c r="IL214" s="28"/>
      <c r="IM214" s="28"/>
      <c r="IN214" s="28"/>
      <c r="IO214" s="28"/>
      <c r="IP214" s="28"/>
      <c r="IQ214" s="28"/>
      <c r="IR214" s="28"/>
      <c r="IS214" s="28"/>
      <c r="IT214" s="28"/>
      <c r="IU214" s="28"/>
      <c r="IV214" s="28"/>
      <c r="IW214" s="28"/>
    </row>
    <row r="215" spans="1:257" s="1" customFormat="1" ht="16.899999999999999" hidden="1"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50"/>
      <c r="AC215" s="50"/>
      <c r="AD215" s="174" t="s">
        <v>372</v>
      </c>
      <c r="AE215" s="268" t="s">
        <v>512</v>
      </c>
      <c r="AF215" s="281" t="s">
        <v>471</v>
      </c>
      <c r="AG215" s="268">
        <v>40</v>
      </c>
      <c r="AH215" s="225" t="e">
        <f>NA()</f>
        <v>#N/A</v>
      </c>
      <c r="AI215" s="299">
        <v>17.100000000000001</v>
      </c>
      <c r="AJ215" s="299">
        <v>30</v>
      </c>
      <c r="AK215" s="301">
        <v>142.90036984588778</v>
      </c>
      <c r="AL215" s="302">
        <f t="shared" si="60"/>
        <v>107.17527738441584</v>
      </c>
      <c r="AM215" s="52"/>
      <c r="AN215" s="88"/>
      <c r="AO215" s="270" t="s">
        <v>207</v>
      </c>
      <c r="AP215" s="271" t="s">
        <v>513</v>
      </c>
      <c r="AQ215" s="271">
        <v>87.352590561725279</v>
      </c>
      <c r="AR215" s="275">
        <f t="shared" ref="AR215:AS215" si="62">TRUNC(AR221,3)</f>
        <v>0.77900000000000003</v>
      </c>
      <c r="AS215" s="275">
        <f t="shared" si="62"/>
        <v>0.85699999999999998</v>
      </c>
      <c r="AT215" s="277">
        <f>AR215</f>
        <v>0.77900000000000003</v>
      </c>
      <c r="AU215" s="277">
        <f>AR216</f>
        <v>0.71399999999999997</v>
      </c>
      <c r="AV215" s="57"/>
      <c r="AW215" s="56"/>
      <c r="AX215" s="56"/>
      <c r="AY215" s="56"/>
      <c r="AZ215" s="56"/>
      <c r="BA215" s="56"/>
      <c r="BB215" s="56"/>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c r="IO215" s="28"/>
      <c r="IP215" s="28"/>
      <c r="IQ215" s="28"/>
      <c r="IR215" s="28"/>
      <c r="IS215" s="28"/>
      <c r="IT215" s="28"/>
      <c r="IU215" s="28"/>
      <c r="IV215" s="28"/>
      <c r="IW215" s="28"/>
    </row>
    <row r="216" spans="1:257" s="1" customFormat="1" ht="17.2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50"/>
      <c r="AC216" s="50"/>
      <c r="AD216" s="174" t="s">
        <v>372</v>
      </c>
      <c r="AE216" s="268" t="s">
        <v>514</v>
      </c>
      <c r="AF216" s="281" t="s">
        <v>471</v>
      </c>
      <c r="AG216" s="268">
        <v>40</v>
      </c>
      <c r="AH216" s="225" t="e">
        <f>NA()</f>
        <v>#N/A</v>
      </c>
      <c r="AI216" s="299">
        <v>17.100000000000001</v>
      </c>
      <c r="AJ216" s="299">
        <v>30</v>
      </c>
      <c r="AK216" s="301">
        <v>142.90036984588778</v>
      </c>
      <c r="AL216" s="302">
        <f t="shared" si="60"/>
        <v>107.17527738441584</v>
      </c>
      <c r="AM216" s="52"/>
      <c r="AN216" s="88"/>
      <c r="AO216" s="270" t="s">
        <v>207</v>
      </c>
      <c r="AP216" s="271" t="s">
        <v>515</v>
      </c>
      <c r="AQ216" s="271">
        <v>118.61368760966984</v>
      </c>
      <c r="AR216" s="275">
        <f t="shared" ref="AR216:AS216" si="63">TRUNC(AR222,3)</f>
        <v>0.71399999999999997</v>
      </c>
      <c r="AS216" s="275">
        <f t="shared" si="63"/>
        <v>0.85699999999999998</v>
      </c>
      <c r="AT216" s="277">
        <f>AR215</f>
        <v>0.77900000000000003</v>
      </c>
      <c r="AU216" s="277">
        <f>AR216</f>
        <v>0.71399999999999997</v>
      </c>
      <c r="AV216" s="57"/>
      <c r="AW216" s="56"/>
      <c r="AX216" s="56"/>
      <c r="AY216" s="56"/>
      <c r="AZ216" s="56"/>
      <c r="BA216" s="56"/>
      <c r="BB216" s="56"/>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c r="IO216" s="28"/>
      <c r="IP216" s="28"/>
      <c r="IQ216" s="28"/>
      <c r="IR216" s="28"/>
      <c r="IS216" s="28"/>
      <c r="IT216" s="28"/>
      <c r="IU216" s="28"/>
      <c r="IV216" s="28"/>
      <c r="IW216" s="28"/>
    </row>
    <row r="217" spans="1:257" s="1" customFormat="1" ht="17.25" hidden="1" customHeight="1">
      <c r="A217" s="450"/>
      <c r="B217" s="161"/>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50"/>
      <c r="AC217" s="50"/>
      <c r="AD217" s="174" t="s">
        <v>372</v>
      </c>
      <c r="AE217" s="268" t="s">
        <v>516</v>
      </c>
      <c r="AF217" s="281" t="s">
        <v>471</v>
      </c>
      <c r="AG217" s="268">
        <v>40</v>
      </c>
      <c r="AH217" s="225" t="e">
        <f>NA()</f>
        <v>#N/A</v>
      </c>
      <c r="AI217" s="299">
        <v>17.100000000000001</v>
      </c>
      <c r="AJ217" s="303">
        <v>30</v>
      </c>
      <c r="AK217" s="301">
        <v>142.90036984588778</v>
      </c>
      <c r="AL217" s="302">
        <f t="shared" si="60"/>
        <v>107.17527738441584</v>
      </c>
      <c r="AM217" s="52"/>
      <c r="AN217" s="52"/>
      <c r="AO217" s="52"/>
      <c r="AP217" s="95"/>
      <c r="AQ217" s="52"/>
      <c r="AR217" s="57"/>
      <c r="AS217" s="57"/>
      <c r="AT217" s="57"/>
      <c r="AU217" s="94"/>
      <c r="AV217" s="59"/>
      <c r="AW217" s="56"/>
      <c r="AX217" s="56"/>
      <c r="AY217" s="56"/>
      <c r="AZ217" s="56"/>
      <c r="BA217" s="56"/>
      <c r="BB217" s="56"/>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28"/>
      <c r="IT217" s="28"/>
      <c r="IU217" s="28"/>
      <c r="IV217" s="28"/>
      <c r="IW217" s="28"/>
    </row>
    <row r="218" spans="1:257" s="1" customFormat="1" ht="17.25" hidden="1" customHeight="1">
      <c r="A218" s="450"/>
      <c r="B218" s="161"/>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50"/>
      <c r="AC218" s="50"/>
      <c r="AD218" s="174" t="s">
        <v>372</v>
      </c>
      <c r="AE218" s="268" t="s">
        <v>517</v>
      </c>
      <c r="AF218" s="281" t="s">
        <v>471</v>
      </c>
      <c r="AG218" s="268">
        <v>40</v>
      </c>
      <c r="AH218" s="225" t="e">
        <f>NA()</f>
        <v>#N/A</v>
      </c>
      <c r="AI218" s="299">
        <v>17.100000000000001</v>
      </c>
      <c r="AJ218" s="303">
        <v>30</v>
      </c>
      <c r="AK218" s="301">
        <v>142.90036984588778</v>
      </c>
      <c r="AL218" s="302">
        <f t="shared" si="60"/>
        <v>107.17527738441584</v>
      </c>
      <c r="AM218" s="52"/>
      <c r="AN218" s="52"/>
      <c r="AO218" s="52"/>
      <c r="AP218" s="95"/>
      <c r="AQ218" s="52"/>
      <c r="AR218" s="57"/>
      <c r="AS218" s="57"/>
      <c r="AT218" s="57"/>
      <c r="AU218" s="94"/>
      <c r="AV218" s="59"/>
      <c r="AW218" s="56"/>
      <c r="AX218" s="56"/>
      <c r="AY218" s="56"/>
      <c r="AZ218" s="56"/>
      <c r="BA218" s="56"/>
      <c r="BB218" s="56"/>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28"/>
      <c r="IT218" s="28"/>
      <c r="IU218" s="28"/>
      <c r="IV218" s="28"/>
      <c r="IW218" s="28"/>
    </row>
    <row r="219" spans="1:257" s="1" customFormat="1" ht="17.25" hidden="1" customHeight="1">
      <c r="A219" s="450"/>
      <c r="B219" s="161"/>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50"/>
      <c r="AC219" s="50"/>
      <c r="AD219" s="174" t="s">
        <v>372</v>
      </c>
      <c r="AE219" s="268" t="s">
        <v>518</v>
      </c>
      <c r="AF219" s="281" t="s">
        <v>471</v>
      </c>
      <c r="AG219" s="268">
        <v>40</v>
      </c>
      <c r="AH219" s="225" t="e">
        <f>NA()</f>
        <v>#N/A</v>
      </c>
      <c r="AI219" s="299">
        <v>17.100000000000001</v>
      </c>
      <c r="AJ219" s="303">
        <v>30</v>
      </c>
      <c r="AK219" s="301">
        <v>142.90036984588778</v>
      </c>
      <c r="AL219" s="302">
        <f t="shared" si="60"/>
        <v>107.17527738441584</v>
      </c>
      <c r="AM219" s="52"/>
      <c r="AN219" s="52"/>
      <c r="AO219" s="52"/>
      <c r="AP219" s="95"/>
      <c r="AQ219" s="52"/>
      <c r="AR219" s="273">
        <v>0.79628400796284005</v>
      </c>
      <c r="AS219" s="273">
        <v>0.87591240875912413</v>
      </c>
      <c r="AT219" s="57"/>
      <c r="AU219" s="94"/>
      <c r="AV219" s="59"/>
      <c r="AW219" s="56"/>
      <c r="AX219" s="56"/>
      <c r="AY219" s="56"/>
      <c r="AZ219" s="56"/>
      <c r="BA219" s="56"/>
      <c r="BB219" s="56"/>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28"/>
      <c r="IT219" s="28"/>
      <c r="IU219" s="28"/>
      <c r="IV219" s="28"/>
      <c r="IW219" s="28"/>
    </row>
    <row r="220" spans="1:257" s="1" customFormat="1" ht="17.25" hidden="1" customHeight="1">
      <c r="A220" s="28"/>
      <c r="B220" s="28"/>
      <c r="C220" s="28"/>
      <c r="D220" s="28"/>
      <c r="E220" s="162"/>
      <c r="F220" s="162"/>
      <c r="G220" s="162"/>
      <c r="H220" s="162"/>
      <c r="I220" s="162"/>
      <c r="J220" s="162"/>
      <c r="K220" s="162"/>
      <c r="L220" s="162"/>
      <c r="M220" s="162"/>
      <c r="N220" s="162"/>
      <c r="O220" s="162"/>
      <c r="P220" s="162"/>
      <c r="Q220" s="162"/>
      <c r="R220" s="162"/>
      <c r="S220" s="162"/>
      <c r="T220" s="162"/>
      <c r="U220" s="162"/>
      <c r="V220" s="162"/>
      <c r="W220" s="162"/>
      <c r="X220" s="28"/>
      <c r="Y220" s="28"/>
      <c r="Z220" s="28"/>
      <c r="AA220" s="28"/>
      <c r="AB220" s="50"/>
      <c r="AC220" s="50"/>
      <c r="AD220" s="50"/>
      <c r="AE220" s="268" t="s">
        <v>519</v>
      </c>
      <c r="AF220" s="281" t="s">
        <v>520</v>
      </c>
      <c r="AG220" s="268">
        <v>75</v>
      </c>
      <c r="AH220" s="225" t="e">
        <f>NA()</f>
        <v>#N/A</v>
      </c>
      <c r="AI220" s="225" t="e">
        <f>NA()</f>
        <v>#N/A</v>
      </c>
      <c r="AJ220" s="225" t="e">
        <f>NA()</f>
        <v>#N/A</v>
      </c>
      <c r="AK220" s="52"/>
      <c r="AL220" s="24"/>
      <c r="AM220" s="52"/>
      <c r="AN220" s="52"/>
      <c r="AO220" s="52"/>
      <c r="AP220" s="95"/>
      <c r="AQ220" s="52"/>
      <c r="AR220" s="273">
        <v>0.72992700729927018</v>
      </c>
      <c r="AS220" s="273">
        <v>0.87591240875912413</v>
      </c>
      <c r="AT220" s="57"/>
      <c r="AU220" s="94"/>
      <c r="AV220" s="59"/>
      <c r="AW220" s="56"/>
      <c r="AX220" s="56"/>
      <c r="AY220" s="56"/>
      <c r="AZ220" s="56"/>
      <c r="BA220" s="56"/>
      <c r="BB220" s="56"/>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c r="IO220" s="28"/>
      <c r="IP220" s="28"/>
      <c r="IQ220" s="28"/>
      <c r="IR220" s="28"/>
      <c r="IS220" s="28"/>
      <c r="IT220" s="28"/>
      <c r="IU220" s="28"/>
      <c r="IV220" s="28"/>
      <c r="IW220" s="28"/>
    </row>
    <row r="221" spans="1:257" s="1" customFormat="1" ht="17.25" hidden="1" customHeight="1">
      <c r="A221" s="163"/>
      <c r="B221" s="163"/>
      <c r="C221" s="163"/>
      <c r="D221" s="28"/>
      <c r="E221" s="28"/>
      <c r="F221" s="28"/>
      <c r="G221" s="28"/>
      <c r="H221" s="28"/>
      <c r="I221" s="28"/>
      <c r="J221" s="28"/>
      <c r="K221" s="28"/>
      <c r="L221" s="28"/>
      <c r="M221" s="28"/>
      <c r="N221" s="28"/>
      <c r="O221" s="28"/>
      <c r="P221" s="28"/>
      <c r="Q221" s="28"/>
      <c r="R221" s="28"/>
      <c r="S221" s="28"/>
      <c r="T221" s="28"/>
      <c r="U221" s="28"/>
      <c r="V221" s="28"/>
      <c r="W221" s="28"/>
      <c r="X221" s="164"/>
      <c r="Y221" s="28"/>
      <c r="Z221" s="28"/>
      <c r="AA221" s="28"/>
      <c r="AB221" s="50"/>
      <c r="AC221" s="50"/>
      <c r="AD221" s="50"/>
      <c r="AE221" s="268" t="s">
        <v>521</v>
      </c>
      <c r="AF221" s="281" t="s">
        <v>520</v>
      </c>
      <c r="AG221" s="268">
        <v>75</v>
      </c>
      <c r="AH221" s="225" t="e">
        <f>NA()</f>
        <v>#N/A</v>
      </c>
      <c r="AI221" s="225" t="e">
        <f>NA()</f>
        <v>#N/A</v>
      </c>
      <c r="AJ221" s="225" t="e">
        <f>NA()</f>
        <v>#N/A</v>
      </c>
      <c r="AK221" s="52"/>
      <c r="AL221" s="52"/>
      <c r="AM221" s="52"/>
      <c r="AN221" s="52"/>
      <c r="AO221" s="52"/>
      <c r="AP221" s="95"/>
      <c r="AQ221" s="52"/>
      <c r="AR221" s="273">
        <v>0.77922077922077915</v>
      </c>
      <c r="AS221" s="273">
        <v>0.8571428571428571</v>
      </c>
      <c r="AT221" s="57"/>
      <c r="AU221" s="94"/>
      <c r="AV221" s="59"/>
      <c r="AW221" s="56"/>
      <c r="AX221" s="56"/>
      <c r="AY221" s="56"/>
      <c r="AZ221" s="56"/>
      <c r="BA221" s="56"/>
      <c r="BB221" s="56"/>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c r="IR221" s="28"/>
      <c r="IS221" s="28"/>
      <c r="IT221" s="28"/>
      <c r="IU221" s="28"/>
      <c r="IV221" s="28"/>
      <c r="IW221" s="28"/>
    </row>
    <row r="222" spans="1:257" s="1" customFormat="1" ht="17.25" hidden="1" customHeight="1">
      <c r="A222" s="163"/>
      <c r="B222" s="163"/>
      <c r="C222" s="16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50"/>
      <c r="AC222" s="50"/>
      <c r="AD222" s="50"/>
      <c r="AE222" s="268" t="s">
        <v>522</v>
      </c>
      <c r="AF222" s="281" t="s">
        <v>520</v>
      </c>
      <c r="AG222" s="268">
        <v>75</v>
      </c>
      <c r="AH222" s="225" t="e">
        <f>NA()</f>
        <v>#N/A</v>
      </c>
      <c r="AI222" s="225" t="e">
        <f>NA()</f>
        <v>#N/A</v>
      </c>
      <c r="AJ222" s="225" t="e">
        <f>NA()</f>
        <v>#N/A</v>
      </c>
      <c r="AK222" s="52"/>
      <c r="AL222" s="24"/>
      <c r="AM222" s="52"/>
      <c r="AN222" s="52"/>
      <c r="AO222" s="52"/>
      <c r="AP222" s="95"/>
      <c r="AQ222" s="95"/>
      <c r="AR222" s="273">
        <v>0.7142857142857143</v>
      </c>
      <c r="AS222" s="273">
        <v>0.8571428571428571</v>
      </c>
      <c r="AT222" s="57"/>
      <c r="AU222" s="94"/>
      <c r="AV222" s="59"/>
      <c r="AW222" s="56"/>
      <c r="AX222" s="56"/>
      <c r="AY222" s="56"/>
      <c r="AZ222" s="56"/>
      <c r="BA222" s="56"/>
      <c r="BB222" s="56"/>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row>
    <row r="223" spans="1:257" s="1" customFormat="1" ht="17.25" hidden="1" customHeight="1">
      <c r="A223" s="163"/>
      <c r="B223" s="163"/>
      <c r="C223" s="16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50"/>
      <c r="AC223" s="50"/>
      <c r="AD223" s="50"/>
      <c r="AE223" s="268" t="s">
        <v>523</v>
      </c>
      <c r="AF223" s="281" t="s">
        <v>520</v>
      </c>
      <c r="AG223" s="268">
        <v>75</v>
      </c>
      <c r="AH223" s="225" t="e">
        <f>NA()</f>
        <v>#N/A</v>
      </c>
      <c r="AI223" s="225" t="e">
        <f>NA()</f>
        <v>#N/A</v>
      </c>
      <c r="AJ223" s="225" t="e">
        <f>NA()</f>
        <v>#N/A</v>
      </c>
      <c r="AK223" s="52"/>
      <c r="AL223" s="24"/>
      <c r="AM223" s="52"/>
      <c r="AN223" s="95"/>
      <c r="AO223" s="52"/>
      <c r="AP223" s="57"/>
      <c r="AQ223" s="57"/>
      <c r="AR223" s="57"/>
      <c r="AS223" s="94"/>
      <c r="AT223" s="59"/>
      <c r="AU223" s="50"/>
      <c r="AV223" s="50"/>
      <c r="AW223" s="56"/>
      <c r="AX223" s="56"/>
      <c r="AY223" s="56"/>
      <c r="AZ223" s="56"/>
      <c r="BA223" s="56"/>
      <c r="BB223" s="56"/>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28"/>
      <c r="IT223" s="28"/>
      <c r="IU223" s="28"/>
      <c r="IV223" s="28"/>
      <c r="IW223" s="28"/>
    </row>
    <row r="224" spans="1:257" s="1" customFormat="1" ht="17.25" hidden="1" customHeight="1">
      <c r="A224" s="163"/>
      <c r="B224" s="163"/>
      <c r="C224" s="16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50"/>
      <c r="AC224" s="50"/>
      <c r="AD224" s="50"/>
      <c r="AE224" s="268" t="s">
        <v>524</v>
      </c>
      <c r="AF224" s="281" t="s">
        <v>520</v>
      </c>
      <c r="AG224" s="268">
        <v>75</v>
      </c>
      <c r="AH224" s="225" t="e">
        <f>NA()</f>
        <v>#N/A</v>
      </c>
      <c r="AI224" s="225" t="e">
        <f>NA()</f>
        <v>#N/A</v>
      </c>
      <c r="AJ224" s="225" t="e">
        <f>NA()</f>
        <v>#N/A</v>
      </c>
      <c r="AK224" s="52"/>
      <c r="AL224" s="52"/>
      <c r="AM224" s="52"/>
      <c r="AN224" s="95"/>
      <c r="AO224" s="52"/>
      <c r="AP224" s="57"/>
      <c r="AQ224" s="57"/>
      <c r="AR224" s="57"/>
      <c r="AS224" s="94"/>
      <c r="AT224" s="59"/>
      <c r="AU224" s="50"/>
      <c r="AV224" s="50"/>
      <c r="AW224" s="56"/>
      <c r="AX224" s="56"/>
      <c r="AY224" s="56"/>
      <c r="AZ224" s="56"/>
      <c r="BA224" s="56"/>
      <c r="BB224" s="56"/>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c r="IR224" s="28"/>
      <c r="IS224" s="28"/>
      <c r="IT224" s="28"/>
      <c r="IU224" s="28"/>
      <c r="IV224" s="28"/>
      <c r="IW224" s="28"/>
    </row>
    <row r="225" spans="1:257" s="1" customFormat="1" hidden="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50"/>
      <c r="AC225" s="50"/>
      <c r="AD225" s="50"/>
      <c r="AE225" s="268" t="s">
        <v>525</v>
      </c>
      <c r="AF225" s="281" t="s">
        <v>520</v>
      </c>
      <c r="AG225" s="268">
        <v>75</v>
      </c>
      <c r="AH225" s="225" t="e">
        <f>NA()</f>
        <v>#N/A</v>
      </c>
      <c r="AI225" s="225" t="e">
        <f>NA()</f>
        <v>#N/A</v>
      </c>
      <c r="AJ225" s="225" t="e">
        <f>NA()</f>
        <v>#N/A</v>
      </c>
      <c r="AK225" s="52"/>
      <c r="AL225" s="24"/>
      <c r="AM225" s="52"/>
      <c r="AN225" s="95"/>
      <c r="AO225" s="52"/>
      <c r="AP225" s="57"/>
      <c r="AQ225" s="57"/>
      <c r="AR225" s="57"/>
      <c r="AS225" s="94"/>
      <c r="AT225" s="59"/>
      <c r="AU225" s="50"/>
      <c r="AV225" s="50"/>
      <c r="AW225" s="56"/>
      <c r="AX225" s="56"/>
      <c r="AY225" s="56"/>
      <c r="AZ225" s="56"/>
      <c r="BA225" s="56"/>
      <c r="BB225" s="56"/>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c r="ID225" s="28"/>
      <c r="IE225" s="28"/>
      <c r="IF225" s="28"/>
      <c r="IG225" s="28"/>
      <c r="IH225" s="28"/>
      <c r="II225" s="28"/>
      <c r="IJ225" s="28"/>
      <c r="IK225" s="28"/>
      <c r="IL225" s="28"/>
      <c r="IM225" s="28"/>
      <c r="IN225" s="28"/>
      <c r="IO225" s="28"/>
      <c r="IP225" s="28"/>
      <c r="IQ225" s="28"/>
      <c r="IR225" s="28"/>
      <c r="IS225" s="28"/>
      <c r="IT225" s="28"/>
      <c r="IU225" s="28"/>
      <c r="IV225" s="28"/>
      <c r="IW225" s="28"/>
    </row>
    <row r="226" spans="1:257" s="1" customFormat="1" hidden="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50"/>
      <c r="AC226" s="50"/>
      <c r="AD226" s="50"/>
      <c r="AE226" s="268" t="s">
        <v>526</v>
      </c>
      <c r="AF226" s="308" t="s">
        <v>527</v>
      </c>
      <c r="AG226" s="268">
        <v>45</v>
      </c>
      <c r="AH226" s="225" t="e">
        <f>NA()</f>
        <v>#N/A</v>
      </c>
      <c r="AI226" s="286">
        <v>9.5399999999999991</v>
      </c>
      <c r="AJ226" s="286">
        <v>30</v>
      </c>
      <c r="AK226" s="52"/>
      <c r="AL226" s="52"/>
      <c r="AM226" s="52"/>
      <c r="AN226" s="95"/>
      <c r="AO226" s="52"/>
      <c r="AP226" s="57"/>
      <c r="AQ226" s="57"/>
      <c r="AR226" s="57"/>
      <c r="AS226" s="94"/>
      <c r="AT226" s="59"/>
      <c r="AU226" s="50"/>
      <c r="AV226" s="50"/>
      <c r="AW226" s="56"/>
      <c r="AX226" s="56"/>
      <c r="AY226" s="56"/>
      <c r="AZ226" s="56"/>
      <c r="BA226" s="56"/>
      <c r="BB226" s="56"/>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c r="IO226" s="28"/>
      <c r="IP226" s="28"/>
      <c r="IQ226" s="28"/>
      <c r="IR226" s="28"/>
      <c r="IS226" s="28"/>
      <c r="IT226" s="28"/>
      <c r="IU226" s="28"/>
      <c r="IV226" s="28"/>
      <c r="IW226" s="28"/>
    </row>
    <row r="227" spans="1:257" s="1" customFormat="1" ht="12.7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4"/>
      <c r="AB227" s="50"/>
      <c r="AC227" s="50"/>
      <c r="AD227" s="50"/>
      <c r="AE227" s="268" t="s">
        <v>528</v>
      </c>
      <c r="AF227" s="308" t="s">
        <v>527</v>
      </c>
      <c r="AG227" s="268">
        <v>45</v>
      </c>
      <c r="AH227" s="225" t="e">
        <f>NA()</f>
        <v>#N/A</v>
      </c>
      <c r="AI227" s="286">
        <v>9.5399999999999991</v>
      </c>
      <c r="AJ227" s="286">
        <v>30</v>
      </c>
      <c r="AK227" s="52"/>
      <c r="AL227" s="24"/>
      <c r="AM227" s="52"/>
      <c r="AN227" s="95"/>
      <c r="AO227" s="95"/>
      <c r="AP227" s="57"/>
      <c r="AQ227" s="57"/>
      <c r="AR227" s="57"/>
      <c r="AS227" s="94"/>
      <c r="AT227" s="59"/>
      <c r="AU227" s="50"/>
      <c r="AV227" s="50"/>
      <c r="AW227" s="56"/>
      <c r="AX227" s="56"/>
      <c r="AY227" s="56"/>
      <c r="AZ227" s="56"/>
      <c r="BA227" s="56"/>
      <c r="BB227" s="56"/>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c r="IO227" s="28"/>
      <c r="IP227" s="28"/>
      <c r="IQ227" s="28"/>
      <c r="IR227" s="28"/>
      <c r="IS227" s="28"/>
      <c r="IT227" s="28"/>
      <c r="IU227" s="28"/>
      <c r="IV227" s="28"/>
      <c r="IW227" s="28"/>
    </row>
    <row r="228" spans="1:257" s="1" customFormat="1" hidden="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50"/>
      <c r="AC228" s="50"/>
      <c r="AD228" s="50"/>
      <c r="AE228" s="268" t="s">
        <v>529</v>
      </c>
      <c r="AF228" s="308" t="s">
        <v>527</v>
      </c>
      <c r="AG228" s="268">
        <v>45</v>
      </c>
      <c r="AH228" s="225" t="e">
        <f>NA()</f>
        <v>#N/A</v>
      </c>
      <c r="AI228" s="286">
        <v>9.57</v>
      </c>
      <c r="AJ228" s="286">
        <v>30</v>
      </c>
      <c r="AK228" s="52"/>
      <c r="AL228" s="52"/>
      <c r="AM228" s="52"/>
      <c r="AN228" s="95"/>
      <c r="AO228" s="95"/>
      <c r="AP228" s="57"/>
      <c r="AQ228" s="57"/>
      <c r="AR228" s="57"/>
      <c r="AS228" s="94"/>
      <c r="AT228" s="59"/>
      <c r="AU228" s="50"/>
      <c r="AV228" s="50"/>
      <c r="AW228" s="56"/>
      <c r="AX228" s="56"/>
      <c r="AY228" s="56"/>
      <c r="AZ228" s="56"/>
      <c r="BA228" s="56"/>
      <c r="BB228" s="56"/>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c r="IO228" s="28"/>
      <c r="IP228" s="28"/>
      <c r="IQ228" s="28"/>
      <c r="IR228" s="28"/>
      <c r="IS228" s="28"/>
      <c r="IT228" s="28"/>
      <c r="IU228" s="28"/>
      <c r="IV228" s="28"/>
      <c r="IW228" s="28"/>
    </row>
    <row r="229" spans="1:257" s="1" customFormat="1" ht="12.7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50"/>
      <c r="AC229" s="50"/>
      <c r="AD229" s="50"/>
      <c r="AE229" s="268" t="str">
        <f t="shared" ref="AE229:AE242" si="64">_xlfn.CONCAT(BP$162,BP163)</f>
        <v>CO2_SensorsFull Service Restaurant</v>
      </c>
      <c r="AF229" s="281" t="s">
        <v>530</v>
      </c>
      <c r="AG229" s="268">
        <v>375</v>
      </c>
      <c r="AH229" s="225" t="e">
        <f>NA()</f>
        <v>#N/A</v>
      </c>
      <c r="AI229" s="225" t="e">
        <f>NA()</f>
        <v>#N/A</v>
      </c>
      <c r="AJ229" s="225" t="e">
        <f>NA()</f>
        <v>#N/A</v>
      </c>
      <c r="AK229" s="173"/>
      <c r="AL229" s="24"/>
      <c r="AM229" s="52"/>
      <c r="AN229" s="52"/>
      <c r="AO229" s="52"/>
      <c r="AP229" s="57"/>
      <c r="AQ229" s="57"/>
      <c r="AR229" s="57"/>
      <c r="AS229" s="57"/>
      <c r="AT229" s="59"/>
      <c r="AU229" s="50"/>
      <c r="AV229" s="50"/>
      <c r="AW229" s="56"/>
      <c r="AX229" s="99"/>
      <c r="AY229" s="99"/>
      <c r="AZ229" s="99"/>
      <c r="BA229" s="99"/>
      <c r="BB229" s="99"/>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c r="IO229" s="28"/>
      <c r="IP229" s="28"/>
      <c r="IQ229" s="28"/>
      <c r="IR229" s="28"/>
      <c r="IS229" s="28"/>
      <c r="IT229" s="28"/>
      <c r="IU229" s="28"/>
      <c r="IV229" s="28"/>
      <c r="IW229" s="28"/>
    </row>
    <row r="230" spans="1:257" s="1" customFormat="1" hidden="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50"/>
      <c r="AC230" s="50"/>
      <c r="AD230" s="50"/>
      <c r="AE230" s="268" t="str">
        <f t="shared" si="64"/>
        <v>CO2_SensorsHospital</v>
      </c>
      <c r="AF230" s="281" t="s">
        <v>530</v>
      </c>
      <c r="AG230" s="268">
        <v>375</v>
      </c>
      <c r="AH230" s="225" t="e">
        <f>NA()</f>
        <v>#N/A</v>
      </c>
      <c r="AI230" s="225" t="e">
        <f>NA()</f>
        <v>#N/A</v>
      </c>
      <c r="AJ230" s="225" t="e">
        <f>NA()</f>
        <v>#N/A</v>
      </c>
      <c r="AK230" s="52"/>
      <c r="AL230" s="52"/>
      <c r="AM230" s="52"/>
      <c r="AN230" s="52"/>
      <c r="AO230" s="52"/>
      <c r="AP230" s="57"/>
      <c r="AQ230" s="57"/>
      <c r="AR230" s="57"/>
      <c r="AS230" s="57"/>
      <c r="AT230" s="59"/>
      <c r="AU230" s="50"/>
      <c r="AV230" s="50"/>
      <c r="AW230" s="56"/>
      <c r="AX230" s="61"/>
      <c r="AY230" s="61"/>
      <c r="AZ230" s="61"/>
      <c r="BA230" s="61"/>
      <c r="BB230" s="61"/>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c r="IO230" s="28"/>
      <c r="IP230" s="28"/>
      <c r="IQ230" s="28"/>
      <c r="IR230" s="28"/>
      <c r="IS230" s="28"/>
      <c r="IT230" s="28"/>
      <c r="IU230" s="28"/>
      <c r="IV230" s="28"/>
      <c r="IW230" s="28"/>
    </row>
    <row r="231" spans="1:257" s="1" customFormat="1" hidden="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50"/>
      <c r="AC231" s="50"/>
      <c r="AD231" s="50"/>
      <c r="AE231" s="268" t="str">
        <f t="shared" si="64"/>
        <v>CO2_SensorsLarge Hotel</v>
      </c>
      <c r="AF231" s="281" t="s">
        <v>530</v>
      </c>
      <c r="AG231" s="268">
        <v>375</v>
      </c>
      <c r="AH231" s="225" t="e">
        <f>NA()</f>
        <v>#N/A</v>
      </c>
      <c r="AI231" s="225" t="e">
        <f>NA()</f>
        <v>#N/A</v>
      </c>
      <c r="AJ231" s="225" t="e">
        <f>NA()</f>
        <v>#N/A</v>
      </c>
      <c r="AK231" s="52"/>
      <c r="AL231" s="24"/>
      <c r="AM231" s="52"/>
      <c r="AN231" s="52"/>
      <c r="AO231" s="52"/>
      <c r="AP231" s="57"/>
      <c r="AQ231" s="57"/>
      <c r="AR231" s="57"/>
      <c r="AS231" s="57"/>
      <c r="AT231" s="59"/>
      <c r="AU231" s="50"/>
      <c r="AV231" s="50"/>
      <c r="AW231" s="56"/>
      <c r="AX231" s="61"/>
      <c r="AY231" s="61"/>
      <c r="AZ231" s="61"/>
      <c r="BA231" s="61"/>
      <c r="BB231" s="61"/>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row>
    <row r="232" spans="1:257" s="1" customFormat="1" hidden="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50"/>
      <c r="AC232" s="50"/>
      <c r="AD232" s="50"/>
      <c r="AE232" s="268" t="str">
        <f t="shared" si="64"/>
        <v>CO2_SensorsLarge Office</v>
      </c>
      <c r="AF232" s="281" t="s">
        <v>530</v>
      </c>
      <c r="AG232" s="268">
        <v>375</v>
      </c>
      <c r="AH232" s="225" t="e">
        <f>NA()</f>
        <v>#N/A</v>
      </c>
      <c r="AI232" s="225" t="e">
        <f>NA()</f>
        <v>#N/A</v>
      </c>
      <c r="AJ232" s="225" t="e">
        <f>NA()</f>
        <v>#N/A</v>
      </c>
      <c r="AK232" s="52"/>
      <c r="AL232" s="52"/>
      <c r="AM232" s="52"/>
      <c r="AN232" s="52"/>
      <c r="AO232" s="52"/>
      <c r="AP232" s="57"/>
      <c r="AQ232" s="57"/>
      <c r="AR232" s="57"/>
      <c r="AS232" s="57"/>
      <c r="AT232" s="59"/>
      <c r="AU232" s="50"/>
      <c r="AV232" s="50"/>
      <c r="AW232" s="56"/>
      <c r="AX232" s="61"/>
      <c r="AY232" s="61"/>
      <c r="AZ232" s="61"/>
      <c r="BA232" s="61"/>
      <c r="BB232" s="61"/>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c r="IR232" s="28"/>
      <c r="IS232" s="28"/>
      <c r="IT232" s="28"/>
      <c r="IU232" s="28"/>
      <c r="IV232" s="28"/>
      <c r="IW232" s="28"/>
    </row>
    <row r="233" spans="1:257" s="1" customFormat="1" hidden="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50"/>
      <c r="AC233" s="50"/>
      <c r="AD233" s="50"/>
      <c r="AE233" s="268" t="str">
        <f t="shared" si="64"/>
        <v>CO2_SensorsMedium Office</v>
      </c>
      <c r="AF233" s="281" t="s">
        <v>530</v>
      </c>
      <c r="AG233" s="268">
        <v>375</v>
      </c>
      <c r="AH233" s="225" t="e">
        <f>NA()</f>
        <v>#N/A</v>
      </c>
      <c r="AI233" s="225" t="e">
        <f>NA()</f>
        <v>#N/A</v>
      </c>
      <c r="AJ233" s="225" t="e">
        <f>NA()</f>
        <v>#N/A</v>
      </c>
      <c r="AK233" s="52"/>
      <c r="AL233" s="24"/>
      <c r="AM233" s="52"/>
      <c r="AN233" s="52"/>
      <c r="AO233" s="52"/>
      <c r="AP233" s="57"/>
      <c r="AQ233" s="57"/>
      <c r="AR233" s="57"/>
      <c r="AS233" s="57"/>
      <c r="AT233" s="59"/>
      <c r="AU233" s="50"/>
      <c r="AV233" s="50"/>
      <c r="AW233" s="56"/>
      <c r="AX233" s="61"/>
      <c r="AY233" s="61"/>
      <c r="AZ233" s="61"/>
      <c r="BA233" s="61"/>
      <c r="BB233" s="61"/>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c r="IR233" s="28"/>
      <c r="IS233" s="28"/>
      <c r="IT233" s="28"/>
      <c r="IU233" s="28"/>
      <c r="IV233" s="28"/>
      <c r="IW233" s="28"/>
    </row>
    <row r="234" spans="1:257" s="1" customFormat="1" hidden="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50"/>
      <c r="AC234" s="50"/>
      <c r="AD234" s="50"/>
      <c r="AE234" s="268" t="str">
        <f t="shared" si="64"/>
        <v>CO2_SensorsMidrise Apartment</v>
      </c>
      <c r="AF234" s="281" t="s">
        <v>530</v>
      </c>
      <c r="AG234" s="268">
        <v>375</v>
      </c>
      <c r="AH234" s="225" t="e">
        <f>NA()</f>
        <v>#N/A</v>
      </c>
      <c r="AI234" s="225" t="e">
        <f>NA()</f>
        <v>#N/A</v>
      </c>
      <c r="AJ234" s="225" t="e">
        <f>NA()</f>
        <v>#N/A</v>
      </c>
      <c r="AK234" s="52"/>
      <c r="AL234" s="52"/>
      <c r="AM234" s="52"/>
      <c r="AN234" s="52"/>
      <c r="AO234" s="52"/>
      <c r="AP234" s="57"/>
      <c r="AQ234" s="57"/>
      <c r="AR234" s="57"/>
      <c r="AS234" s="57"/>
      <c r="AT234" s="59"/>
      <c r="AU234" s="50"/>
      <c r="AV234" s="50"/>
      <c r="AW234" s="56"/>
      <c r="AX234" s="61"/>
      <c r="AY234" s="61"/>
      <c r="AZ234" s="61"/>
      <c r="BA234" s="61"/>
      <c r="BB234" s="61"/>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row>
    <row r="235" spans="1:257" s="1" customFormat="1" hidden="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50"/>
      <c r="AC235" s="50"/>
      <c r="AD235" s="50"/>
      <c r="AE235" s="268" t="str">
        <f t="shared" si="64"/>
        <v>CO2_SensorsOutpatient</v>
      </c>
      <c r="AF235" s="281" t="s">
        <v>530</v>
      </c>
      <c r="AG235" s="268">
        <v>375</v>
      </c>
      <c r="AH235" s="225" t="e">
        <f>NA()</f>
        <v>#N/A</v>
      </c>
      <c r="AI235" s="225" t="e">
        <f>NA()</f>
        <v>#N/A</v>
      </c>
      <c r="AJ235" s="225" t="e">
        <f>NA()</f>
        <v>#N/A</v>
      </c>
      <c r="AK235" s="52"/>
      <c r="AL235" s="24"/>
      <c r="AM235" s="52"/>
      <c r="AN235" s="52"/>
      <c r="AO235" s="52"/>
      <c r="AP235" s="57"/>
      <c r="AQ235" s="57"/>
      <c r="AR235" s="57"/>
      <c r="AS235" s="57"/>
      <c r="AT235" s="59"/>
      <c r="AU235" s="50"/>
      <c r="AV235" s="50"/>
      <c r="AW235" s="56"/>
      <c r="AX235" s="61"/>
      <c r="AY235" s="61"/>
      <c r="AZ235" s="61"/>
      <c r="BA235" s="61"/>
      <c r="BB235" s="61"/>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c r="IW235" s="28"/>
    </row>
    <row r="236" spans="1:257" s="1" customFormat="1" hidden="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50"/>
      <c r="AC236" s="50"/>
      <c r="AD236" s="50"/>
      <c r="AE236" s="268" t="str">
        <f t="shared" si="64"/>
        <v>CO2_SensorsQuick Service Restaurant</v>
      </c>
      <c r="AF236" s="281" t="s">
        <v>530</v>
      </c>
      <c r="AG236" s="268">
        <v>375</v>
      </c>
      <c r="AH236" s="225" t="e">
        <f>NA()</f>
        <v>#N/A</v>
      </c>
      <c r="AI236" s="225" t="e">
        <f>NA()</f>
        <v>#N/A</v>
      </c>
      <c r="AJ236" s="225" t="e">
        <f>NA()</f>
        <v>#N/A</v>
      </c>
      <c r="AK236" s="52"/>
      <c r="AL236" s="52"/>
      <c r="AM236" s="52"/>
      <c r="AN236" s="52"/>
      <c r="AO236" s="52"/>
      <c r="AP236" s="57"/>
      <c r="AQ236" s="57"/>
      <c r="AR236" s="57"/>
      <c r="AS236" s="57"/>
      <c r="AT236" s="59"/>
      <c r="AU236" s="50"/>
      <c r="AV236" s="50"/>
      <c r="AW236" s="56"/>
      <c r="AX236" s="61"/>
      <c r="AY236" s="61"/>
      <c r="AZ236" s="61"/>
      <c r="BA236" s="61"/>
      <c r="BB236" s="61"/>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c r="ID236" s="28"/>
      <c r="IE236" s="28"/>
      <c r="IF236" s="28"/>
      <c r="IG236" s="28"/>
      <c r="IH236" s="28"/>
      <c r="II236" s="28"/>
      <c r="IJ236" s="28"/>
      <c r="IK236" s="28"/>
      <c r="IL236" s="28"/>
      <c r="IM236" s="28"/>
      <c r="IN236" s="28"/>
      <c r="IO236" s="28"/>
      <c r="IP236" s="28"/>
      <c r="IQ236" s="28"/>
      <c r="IR236" s="28"/>
      <c r="IS236" s="28"/>
      <c r="IT236" s="28"/>
      <c r="IU236" s="28"/>
      <c r="IV236" s="28"/>
      <c r="IW236" s="28"/>
    </row>
    <row r="237" spans="1:257" s="1" customFormat="1" hidden="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50"/>
      <c r="AC237" s="50"/>
      <c r="AD237" s="50"/>
      <c r="AE237" s="268" t="str">
        <f t="shared" si="64"/>
        <v>CO2_SensorsSmall Hotel</v>
      </c>
      <c r="AF237" s="281" t="s">
        <v>530</v>
      </c>
      <c r="AG237" s="268">
        <v>375</v>
      </c>
      <c r="AH237" s="225" t="e">
        <f>NA()</f>
        <v>#N/A</v>
      </c>
      <c r="AI237" s="225" t="e">
        <f>NA()</f>
        <v>#N/A</v>
      </c>
      <c r="AJ237" s="225" t="e">
        <f>NA()</f>
        <v>#N/A</v>
      </c>
      <c r="AK237" s="52"/>
      <c r="AL237" s="24"/>
      <c r="AM237" s="52"/>
      <c r="AN237" s="52"/>
      <c r="AO237" s="52"/>
      <c r="AP237" s="57"/>
      <c r="AQ237" s="57"/>
      <c r="AR237" s="57"/>
      <c r="AS237" s="57"/>
      <c r="AT237" s="59"/>
      <c r="AU237" s="50"/>
      <c r="AV237" s="50"/>
      <c r="AW237" s="56"/>
      <c r="AX237" s="61"/>
      <c r="AY237" s="61"/>
      <c r="AZ237" s="61"/>
      <c r="BA237" s="61"/>
      <c r="BB237" s="61"/>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c r="ID237" s="28"/>
      <c r="IE237" s="28"/>
      <c r="IF237" s="28"/>
      <c r="IG237" s="28"/>
      <c r="IH237" s="28"/>
      <c r="II237" s="28"/>
      <c r="IJ237" s="28"/>
      <c r="IK237" s="28"/>
      <c r="IL237" s="28"/>
      <c r="IM237" s="28"/>
      <c r="IN237" s="28"/>
      <c r="IO237" s="28"/>
      <c r="IP237" s="28"/>
      <c r="IQ237" s="28"/>
      <c r="IR237" s="28"/>
      <c r="IS237" s="28"/>
      <c r="IT237" s="28"/>
      <c r="IU237" s="28"/>
      <c r="IV237" s="28"/>
      <c r="IW237" s="28"/>
    </row>
    <row r="238" spans="1:257" s="1" customFormat="1" hidden="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50"/>
      <c r="AC238" s="50"/>
      <c r="AD238" s="50"/>
      <c r="AE238" s="268" t="str">
        <f t="shared" si="64"/>
        <v>CO2_SensorsSmall Office</v>
      </c>
      <c r="AF238" s="281" t="s">
        <v>530</v>
      </c>
      <c r="AG238" s="268">
        <v>375</v>
      </c>
      <c r="AH238" s="225" t="e">
        <f>NA()</f>
        <v>#N/A</v>
      </c>
      <c r="AI238" s="225" t="e">
        <f>NA()</f>
        <v>#N/A</v>
      </c>
      <c r="AJ238" s="225" t="e">
        <f>NA()</f>
        <v>#N/A</v>
      </c>
      <c r="AK238" s="52"/>
      <c r="AL238" s="52"/>
      <c r="AM238" s="52"/>
      <c r="AN238" s="52"/>
      <c r="AO238" s="52"/>
      <c r="AP238" s="57"/>
      <c r="AQ238" s="57"/>
      <c r="AR238" s="57"/>
      <c r="AS238" s="57"/>
      <c r="AT238" s="59"/>
      <c r="AU238" s="50"/>
      <c r="AV238" s="50"/>
      <c r="AW238" s="56"/>
      <c r="AX238" s="61"/>
      <c r="AY238" s="61"/>
      <c r="AZ238" s="61"/>
      <c r="BA238" s="61"/>
      <c r="BB238" s="61"/>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c r="ID238" s="28"/>
      <c r="IE238" s="28"/>
      <c r="IF238" s="28"/>
      <c r="IG238" s="28"/>
      <c r="IH238" s="28"/>
      <c r="II238" s="28"/>
      <c r="IJ238" s="28"/>
      <c r="IK238" s="28"/>
      <c r="IL238" s="28"/>
      <c r="IM238" s="28"/>
      <c r="IN238" s="28"/>
      <c r="IO238" s="28"/>
      <c r="IP238" s="28"/>
      <c r="IQ238" s="28"/>
      <c r="IR238" s="28"/>
      <c r="IS238" s="28"/>
      <c r="IT238" s="28"/>
      <c r="IU238" s="28"/>
      <c r="IV238" s="28"/>
      <c r="IW238" s="28"/>
    </row>
    <row r="239" spans="1:257" s="1" customFormat="1" hidden="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50"/>
      <c r="AC239" s="50"/>
      <c r="AD239" s="50"/>
      <c r="AE239" s="268" t="str">
        <f t="shared" si="64"/>
        <v>CO2_SensorsStrip Mall</v>
      </c>
      <c r="AF239" s="281" t="s">
        <v>530</v>
      </c>
      <c r="AG239" s="268">
        <v>375</v>
      </c>
      <c r="AH239" s="225" t="e">
        <f>NA()</f>
        <v>#N/A</v>
      </c>
      <c r="AI239" s="225" t="e">
        <f>NA()</f>
        <v>#N/A</v>
      </c>
      <c r="AJ239" s="225" t="e">
        <f>NA()</f>
        <v>#N/A</v>
      </c>
      <c r="AK239" s="52"/>
      <c r="AL239" s="24"/>
      <c r="AM239" s="52"/>
      <c r="AN239" s="52"/>
      <c r="AO239" s="52"/>
      <c r="AP239" s="57"/>
      <c r="AQ239" s="57"/>
      <c r="AR239" s="57"/>
      <c r="AS239" s="57"/>
      <c r="AT239" s="59"/>
      <c r="AU239" s="50"/>
      <c r="AV239" s="50"/>
      <c r="AW239" s="56"/>
      <c r="AX239" s="61"/>
      <c r="AY239" s="61"/>
      <c r="AZ239" s="61"/>
      <c r="BA239" s="61"/>
      <c r="BB239" s="61"/>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row>
    <row r="240" spans="1:257" s="1" customFormat="1" hidden="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50"/>
      <c r="AC240" s="50"/>
      <c r="AD240" s="50"/>
      <c r="AE240" s="268" t="str">
        <f t="shared" si="64"/>
        <v>CO2_SensorsSupermarket</v>
      </c>
      <c r="AF240" s="281" t="s">
        <v>530</v>
      </c>
      <c r="AG240" s="268">
        <v>375</v>
      </c>
      <c r="AH240" s="225" t="e">
        <f>NA()</f>
        <v>#N/A</v>
      </c>
      <c r="AI240" s="225" t="e">
        <f>NA()</f>
        <v>#N/A</v>
      </c>
      <c r="AJ240" s="225" t="e">
        <f>NA()</f>
        <v>#N/A</v>
      </c>
      <c r="AK240" s="52"/>
      <c r="AL240" s="52"/>
      <c r="AM240" s="52"/>
      <c r="AN240" s="52"/>
      <c r="AO240" s="52"/>
      <c r="AP240" s="57"/>
      <c r="AQ240" s="57"/>
      <c r="AR240" s="57"/>
      <c r="AS240" s="57"/>
      <c r="AT240" s="59"/>
      <c r="AU240" s="50"/>
      <c r="AV240" s="50"/>
      <c r="AW240" s="56"/>
      <c r="AX240" s="61"/>
      <c r="AY240" s="61"/>
      <c r="AZ240" s="61"/>
      <c r="BA240" s="61"/>
      <c r="BB240" s="61"/>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c r="IO240" s="28"/>
      <c r="IP240" s="28"/>
      <c r="IQ240" s="28"/>
      <c r="IR240" s="28"/>
      <c r="IS240" s="28"/>
      <c r="IT240" s="28"/>
      <c r="IU240" s="28"/>
      <c r="IV240" s="28"/>
      <c r="IW240" s="28"/>
    </row>
    <row r="241" spans="1:257" s="1" customFormat="1" hidden="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50"/>
      <c r="AC241" s="50"/>
      <c r="AD241" s="50"/>
      <c r="AE241" s="268" t="str">
        <f t="shared" si="64"/>
        <v>CO2_SensorsPrimary School</v>
      </c>
      <c r="AF241" s="281" t="s">
        <v>530</v>
      </c>
      <c r="AG241" s="268">
        <v>375</v>
      </c>
      <c r="AH241" s="225" t="e">
        <f>NA()</f>
        <v>#N/A</v>
      </c>
      <c r="AI241" s="225" t="e">
        <f>NA()</f>
        <v>#N/A</v>
      </c>
      <c r="AJ241" s="225" t="e">
        <f>NA()</f>
        <v>#N/A</v>
      </c>
      <c r="AK241" s="52"/>
      <c r="AL241" s="24"/>
      <c r="AM241" s="52"/>
      <c r="AN241" s="51"/>
      <c r="AO241" s="51"/>
      <c r="AP241" s="59"/>
      <c r="AQ241" s="59"/>
      <c r="AR241" s="59"/>
      <c r="AS241" s="59"/>
      <c r="AT241" s="59"/>
      <c r="AU241" s="50"/>
      <c r="AV241" s="50"/>
      <c r="AW241" s="56"/>
      <c r="AX241" s="61"/>
      <c r="AY241" s="61"/>
      <c r="AZ241" s="61"/>
      <c r="BA241" s="61"/>
      <c r="BB241" s="61"/>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c r="IO241" s="28"/>
      <c r="IP241" s="28"/>
      <c r="IQ241" s="28"/>
      <c r="IR241" s="28"/>
      <c r="IS241" s="28"/>
      <c r="IT241" s="28"/>
      <c r="IU241" s="28"/>
      <c r="IV241" s="28"/>
      <c r="IW241" s="28"/>
    </row>
    <row r="242" spans="1:257" s="1" customFormat="1" hidden="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50"/>
      <c r="AC242" s="50"/>
      <c r="AD242" s="50"/>
      <c r="AE242" s="268" t="str">
        <f t="shared" si="64"/>
        <v>CO2_SensorsSecondary School</v>
      </c>
      <c r="AF242" s="281" t="s">
        <v>530</v>
      </c>
      <c r="AG242" s="268">
        <v>375</v>
      </c>
      <c r="AH242" s="225" t="e">
        <f>NA()</f>
        <v>#N/A</v>
      </c>
      <c r="AI242" s="225" t="e">
        <f>NA()</f>
        <v>#N/A</v>
      </c>
      <c r="AJ242" s="225" t="e">
        <f>NA()</f>
        <v>#N/A</v>
      </c>
      <c r="AK242" s="52"/>
      <c r="AL242" s="52"/>
      <c r="AM242" s="52"/>
      <c r="AN242" s="51"/>
      <c r="AO242" s="51"/>
      <c r="AP242" s="59"/>
      <c r="AQ242" s="59"/>
      <c r="AR242" s="59"/>
      <c r="AS242" s="59"/>
      <c r="AT242" s="59"/>
      <c r="AU242" s="50"/>
      <c r="AV242" s="50"/>
      <c r="AW242" s="56"/>
      <c r="AX242" s="56"/>
      <c r="AY242" s="56"/>
      <c r="AZ242" s="56"/>
      <c r="BA242" s="56"/>
      <c r="BB242" s="56"/>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c r="IO242" s="28"/>
      <c r="IP242" s="28"/>
      <c r="IQ242" s="28"/>
      <c r="IR242" s="28"/>
      <c r="IS242" s="28"/>
      <c r="IT242" s="28"/>
      <c r="IU242" s="28"/>
      <c r="IV242" s="28"/>
      <c r="IW242" s="28"/>
    </row>
    <row r="243" spans="1:257" s="1" customFormat="1" hidden="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50"/>
      <c r="AC243" s="50"/>
      <c r="AD243" s="50"/>
      <c r="AE243" s="268" t="s">
        <v>531</v>
      </c>
      <c r="AF243" s="281" t="s">
        <v>530</v>
      </c>
      <c r="AG243" s="268">
        <v>1000</v>
      </c>
      <c r="AH243" s="225" t="e">
        <f>NA()</f>
        <v>#N/A</v>
      </c>
      <c r="AI243" s="225" t="e">
        <f>NA()</f>
        <v>#N/A</v>
      </c>
      <c r="AJ243" s="225" t="e">
        <f>NA()</f>
        <v>#N/A</v>
      </c>
      <c r="AK243" s="52"/>
      <c r="AL243" s="24"/>
      <c r="AM243" s="52"/>
      <c r="AN243" s="51"/>
      <c r="AO243" s="51"/>
      <c r="AP243" s="59"/>
      <c r="AQ243" s="59"/>
      <c r="AR243" s="59"/>
      <c r="AS243" s="59"/>
      <c r="AT243" s="59"/>
      <c r="AU243" s="50"/>
      <c r="AV243" s="50"/>
      <c r="AW243" s="56"/>
      <c r="AX243" s="56"/>
      <c r="AY243" s="56"/>
      <c r="AZ243" s="56"/>
      <c r="BA243" s="56"/>
      <c r="BB243" s="56"/>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row>
    <row r="244" spans="1:257" s="1" customFormat="1" hidden="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50"/>
      <c r="AC244" s="50"/>
      <c r="AD244" s="50"/>
      <c r="AE244" s="268" t="s">
        <v>532</v>
      </c>
      <c r="AF244" s="281" t="s">
        <v>530</v>
      </c>
      <c r="AG244" s="268">
        <v>1000</v>
      </c>
      <c r="AH244" s="225" t="e">
        <f>NA()</f>
        <v>#N/A</v>
      </c>
      <c r="AI244" s="225" t="e">
        <f>NA()</f>
        <v>#N/A</v>
      </c>
      <c r="AJ244" s="225" t="e">
        <f>NA()</f>
        <v>#N/A</v>
      </c>
      <c r="AK244" s="52"/>
      <c r="AL244" s="52"/>
      <c r="AM244" s="52"/>
      <c r="AN244" s="51"/>
      <c r="AO244" s="51"/>
      <c r="AP244" s="59"/>
      <c r="AQ244" s="59"/>
      <c r="AR244" s="59"/>
      <c r="AS244" s="59"/>
      <c r="AT244" s="59"/>
      <c r="AU244" s="50"/>
      <c r="AV244" s="50"/>
      <c r="AW244" s="56"/>
      <c r="AX244" s="56"/>
      <c r="AY244" s="56"/>
      <c r="AZ244" s="56"/>
      <c r="BA244" s="56"/>
      <c r="BB244" s="56"/>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c r="IC244" s="28"/>
      <c r="ID244" s="28"/>
      <c r="IE244" s="28"/>
      <c r="IF244" s="28"/>
      <c r="IG244" s="28"/>
      <c r="IH244" s="28"/>
      <c r="II244" s="28"/>
      <c r="IJ244" s="28"/>
      <c r="IK244" s="28"/>
      <c r="IL244" s="28"/>
      <c r="IM244" s="28"/>
      <c r="IN244" s="28"/>
      <c r="IO244" s="28"/>
      <c r="IP244" s="28"/>
      <c r="IQ244" s="28"/>
      <c r="IR244" s="28"/>
      <c r="IS244" s="28"/>
      <c r="IT244" s="28"/>
      <c r="IU244" s="28"/>
      <c r="IV244" s="28"/>
      <c r="IW244" s="28"/>
    </row>
    <row r="245" spans="1:257" s="1" customFormat="1" hidden="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50"/>
      <c r="AC245" s="50"/>
      <c r="AD245" s="50"/>
      <c r="AE245" s="268" t="s">
        <v>533</v>
      </c>
      <c r="AF245" s="281" t="s">
        <v>530</v>
      </c>
      <c r="AG245" s="268">
        <v>1000</v>
      </c>
      <c r="AH245" s="225" t="e">
        <f>NA()</f>
        <v>#N/A</v>
      </c>
      <c r="AI245" s="225" t="e">
        <f>NA()</f>
        <v>#N/A</v>
      </c>
      <c r="AJ245" s="225" t="e">
        <f>NA()</f>
        <v>#N/A</v>
      </c>
      <c r="AK245" s="52"/>
      <c r="AL245" s="24"/>
      <c r="AM245" s="52"/>
      <c r="AN245" s="51"/>
      <c r="AO245" s="51"/>
      <c r="AP245" s="59"/>
      <c r="AQ245" s="59"/>
      <c r="AR245" s="59"/>
      <c r="AS245" s="59"/>
      <c r="AT245" s="59"/>
      <c r="AU245" s="50"/>
      <c r="AV245" s="50"/>
      <c r="AW245" s="56"/>
      <c r="AX245" s="56"/>
      <c r="AY245" s="56"/>
      <c r="AZ245" s="56"/>
      <c r="BA245" s="56"/>
      <c r="BB245" s="56"/>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c r="IO245" s="28"/>
      <c r="IP245" s="28"/>
      <c r="IQ245" s="28"/>
      <c r="IR245" s="28"/>
      <c r="IS245" s="28"/>
      <c r="IT245" s="28"/>
      <c r="IU245" s="28"/>
      <c r="IV245" s="28"/>
      <c r="IW245" s="28"/>
    </row>
    <row r="246" spans="1:257" s="1" customFormat="1" hidden="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50"/>
      <c r="AC246" s="50"/>
      <c r="AD246" s="50"/>
      <c r="AE246" s="268" t="s">
        <v>534</v>
      </c>
      <c r="AF246" s="281" t="s">
        <v>530</v>
      </c>
      <c r="AG246" s="268">
        <v>1000</v>
      </c>
      <c r="AH246" s="225" t="e">
        <f>NA()</f>
        <v>#N/A</v>
      </c>
      <c r="AI246" s="225" t="e">
        <f>NA()</f>
        <v>#N/A</v>
      </c>
      <c r="AJ246" s="225" t="e">
        <f>NA()</f>
        <v>#N/A</v>
      </c>
      <c r="AK246" s="52"/>
      <c r="AL246" s="52"/>
      <c r="AM246" s="52"/>
      <c r="AN246" s="51"/>
      <c r="AO246" s="51"/>
      <c r="AP246" s="59"/>
      <c r="AQ246" s="59"/>
      <c r="AR246" s="59"/>
      <c r="AS246" s="59"/>
      <c r="AT246" s="59"/>
      <c r="AU246" s="50"/>
      <c r="AV246" s="50"/>
      <c r="AW246" s="56"/>
      <c r="AX246" s="56"/>
      <c r="AY246" s="56"/>
      <c r="AZ246" s="56"/>
      <c r="BA246" s="56"/>
      <c r="BB246" s="56"/>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c r="IC246" s="28"/>
      <c r="ID246" s="28"/>
      <c r="IE246" s="28"/>
      <c r="IF246" s="28"/>
      <c r="IG246" s="28"/>
      <c r="IH246" s="28"/>
      <c r="II246" s="28"/>
      <c r="IJ246" s="28"/>
      <c r="IK246" s="28"/>
      <c r="IL246" s="28"/>
      <c r="IM246" s="28"/>
      <c r="IN246" s="28"/>
      <c r="IO246" s="28"/>
      <c r="IP246" s="28"/>
      <c r="IQ246" s="28"/>
      <c r="IR246" s="28"/>
      <c r="IS246" s="28"/>
      <c r="IT246" s="28"/>
      <c r="IU246" s="28"/>
      <c r="IV246" s="28"/>
      <c r="IW246" s="28"/>
    </row>
    <row r="247" spans="1:257" s="1" customFormat="1" hidden="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50"/>
      <c r="AC247" s="50"/>
      <c r="AD247" s="50"/>
      <c r="AE247" s="268" t="s">
        <v>301</v>
      </c>
      <c r="AF247" s="281" t="s">
        <v>535</v>
      </c>
      <c r="AG247" s="268">
        <v>2</v>
      </c>
      <c r="AH247" s="225" t="e">
        <f>NA()</f>
        <v>#N/A</v>
      </c>
      <c r="AI247" s="225" t="e">
        <f>NA()</f>
        <v>#N/A</v>
      </c>
      <c r="AJ247" s="299">
        <v>0.3</v>
      </c>
      <c r="AK247" s="52"/>
      <c r="AL247" s="52"/>
      <c r="AM247" s="52"/>
      <c r="AN247" s="51"/>
      <c r="AO247" s="51"/>
      <c r="AP247" s="59"/>
      <c r="AQ247" s="59"/>
      <c r="AR247" s="59"/>
      <c r="AS247" s="59"/>
      <c r="AT247" s="59"/>
      <c r="AU247" s="50"/>
      <c r="AV247" s="50"/>
      <c r="AW247" s="56"/>
      <c r="AX247" s="56"/>
      <c r="AY247" s="56"/>
      <c r="AZ247" s="56"/>
      <c r="BA247" s="56"/>
      <c r="BB247" s="56"/>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c r="IC247" s="28"/>
      <c r="ID247" s="28"/>
      <c r="IE247" s="28"/>
      <c r="IF247" s="28"/>
      <c r="IG247" s="28"/>
      <c r="IH247" s="28"/>
      <c r="II247" s="28"/>
      <c r="IJ247" s="28"/>
      <c r="IK247" s="28"/>
      <c r="IL247" s="28"/>
      <c r="IM247" s="28"/>
      <c r="IN247" s="28"/>
      <c r="IO247" s="28"/>
      <c r="IP247" s="28"/>
      <c r="IQ247" s="28"/>
      <c r="IR247" s="28"/>
      <c r="IS247" s="28"/>
      <c r="IT247" s="28"/>
      <c r="IU247" s="28"/>
      <c r="IV247" s="28"/>
      <c r="IW247" s="28"/>
    </row>
    <row r="248" spans="1:257" s="1" customFormat="1" hidden="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50"/>
      <c r="AC248" s="50"/>
      <c r="AD248" s="50"/>
      <c r="AE248" s="296" t="s">
        <v>536</v>
      </c>
      <c r="AF248" s="281" t="s">
        <v>432</v>
      </c>
      <c r="AG248" s="268">
        <v>15</v>
      </c>
      <c r="AH248" s="225" t="e">
        <f>NA()</f>
        <v>#N/A</v>
      </c>
      <c r="AI248" s="299">
        <v>15.2</v>
      </c>
      <c r="AJ248" s="299">
        <v>16.14</v>
      </c>
      <c r="AK248" s="301">
        <v>36.516903876610513</v>
      </c>
      <c r="AL248" s="302">
        <f t="shared" ref="AL248:AL265" si="65">AK248*0.75</f>
        <v>27.387677907457885</v>
      </c>
      <c r="AM248" s="52"/>
      <c r="AN248" s="51"/>
      <c r="AO248" s="51"/>
      <c r="AP248" s="59"/>
      <c r="AQ248" s="59"/>
      <c r="AR248" s="59"/>
      <c r="AS248" s="59"/>
      <c r="AT248" s="59"/>
      <c r="AU248" s="50"/>
      <c r="AV248" s="50"/>
      <c r="AW248" s="56"/>
      <c r="AX248" s="56"/>
      <c r="AY248" s="56"/>
      <c r="AZ248" s="56"/>
      <c r="BA248" s="56"/>
      <c r="BB248" s="56"/>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c r="IO248" s="28"/>
      <c r="IP248" s="28"/>
      <c r="IQ248" s="28"/>
      <c r="IR248" s="28"/>
      <c r="IS248" s="28"/>
      <c r="IT248" s="28"/>
      <c r="IU248" s="28"/>
      <c r="IV248" s="28"/>
      <c r="IW248" s="28"/>
    </row>
    <row r="249" spans="1:257" s="1" customFormat="1" hidden="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50"/>
      <c r="AC249" s="50"/>
      <c r="AD249" s="50"/>
      <c r="AE249" s="296" t="s">
        <v>537</v>
      </c>
      <c r="AF249" s="281" t="s">
        <v>432</v>
      </c>
      <c r="AG249" s="268">
        <v>15</v>
      </c>
      <c r="AH249" s="225" t="e">
        <f>NA()</f>
        <v>#N/A</v>
      </c>
      <c r="AI249" s="299">
        <v>15.2</v>
      </c>
      <c r="AJ249" s="299">
        <v>16.14</v>
      </c>
      <c r="AK249" s="301">
        <v>36.516903876610513</v>
      </c>
      <c r="AL249" s="302">
        <f t="shared" si="65"/>
        <v>27.387677907457885</v>
      </c>
      <c r="AM249" s="52"/>
      <c r="AN249" s="51"/>
      <c r="AO249" s="51"/>
      <c r="AP249" s="59"/>
      <c r="AQ249" s="59"/>
      <c r="AR249" s="59"/>
      <c r="AS249" s="59"/>
      <c r="AT249" s="59"/>
      <c r="AU249" s="50"/>
      <c r="AV249" s="50"/>
      <c r="AW249" s="56"/>
      <c r="AX249" s="56"/>
      <c r="AY249" s="56"/>
      <c r="AZ249" s="56"/>
      <c r="BA249" s="56"/>
      <c r="BB249" s="56"/>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c r="IO249" s="28"/>
      <c r="IP249" s="28"/>
      <c r="IQ249" s="28"/>
      <c r="IR249" s="28"/>
      <c r="IS249" s="28"/>
      <c r="IT249" s="28"/>
      <c r="IU249" s="28"/>
      <c r="IV249" s="28"/>
      <c r="IW249" s="28"/>
    </row>
    <row r="250" spans="1:257" s="1" customFormat="1" hidden="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50"/>
      <c r="AC250" s="50"/>
      <c r="AD250" s="50"/>
      <c r="AE250" s="296" t="s">
        <v>538</v>
      </c>
      <c r="AF250" s="281" t="s">
        <v>432</v>
      </c>
      <c r="AG250" s="268">
        <v>15</v>
      </c>
      <c r="AH250" s="225" t="e">
        <f>NA()</f>
        <v>#N/A</v>
      </c>
      <c r="AI250" s="299">
        <v>15.2</v>
      </c>
      <c r="AJ250" s="299">
        <v>16.14</v>
      </c>
      <c r="AK250" s="301">
        <v>36.516903876610513</v>
      </c>
      <c r="AL250" s="302">
        <f t="shared" si="65"/>
        <v>27.387677907457885</v>
      </c>
      <c r="AM250" s="52"/>
      <c r="AN250" s="51"/>
      <c r="AO250" s="51"/>
      <c r="AP250" s="59"/>
      <c r="AQ250" s="59"/>
      <c r="AR250" s="59"/>
      <c r="AS250" s="59"/>
      <c r="AT250" s="59"/>
      <c r="AU250" s="50"/>
      <c r="AV250" s="50"/>
      <c r="AW250" s="56"/>
      <c r="AX250" s="56"/>
      <c r="AY250" s="56"/>
      <c r="AZ250" s="56"/>
      <c r="BA250" s="56"/>
      <c r="BB250" s="56"/>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c r="IC250" s="28"/>
      <c r="ID250" s="28"/>
      <c r="IE250" s="28"/>
      <c r="IF250" s="28"/>
      <c r="IG250" s="28"/>
      <c r="IH250" s="28"/>
      <c r="II250" s="28"/>
      <c r="IJ250" s="28"/>
      <c r="IK250" s="28"/>
      <c r="IL250" s="28"/>
      <c r="IM250" s="28"/>
      <c r="IN250" s="28"/>
      <c r="IO250" s="28"/>
      <c r="IP250" s="28"/>
      <c r="IQ250" s="28"/>
      <c r="IR250" s="28"/>
      <c r="IS250" s="28"/>
      <c r="IT250" s="28"/>
      <c r="IU250" s="28"/>
      <c r="IV250" s="28"/>
      <c r="IW250" s="28"/>
    </row>
    <row r="251" spans="1:257" s="1" customFormat="1" hidden="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50"/>
      <c r="AC251" s="50"/>
      <c r="AD251" s="50"/>
      <c r="AE251" s="296" t="s">
        <v>539</v>
      </c>
      <c r="AF251" s="281" t="s">
        <v>432</v>
      </c>
      <c r="AG251" s="268">
        <v>15</v>
      </c>
      <c r="AH251" s="225" t="e">
        <f>NA()</f>
        <v>#N/A</v>
      </c>
      <c r="AI251" s="299">
        <v>15.2</v>
      </c>
      <c r="AJ251" s="299">
        <v>16.14</v>
      </c>
      <c r="AK251" s="301">
        <v>36.516903876610513</v>
      </c>
      <c r="AL251" s="302">
        <f t="shared" si="65"/>
        <v>27.387677907457885</v>
      </c>
      <c r="AM251" s="52"/>
      <c r="AN251" s="51"/>
      <c r="AO251" s="51"/>
      <c r="AP251" s="59"/>
      <c r="AQ251" s="59"/>
      <c r="AR251" s="59"/>
      <c r="AS251" s="59"/>
      <c r="AT251" s="59"/>
      <c r="AU251" s="50"/>
      <c r="AV251" s="50"/>
      <c r="AW251" s="56"/>
      <c r="AX251" s="56"/>
      <c r="AY251" s="56"/>
      <c r="AZ251" s="56"/>
      <c r="BA251" s="56"/>
      <c r="BB251" s="56"/>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c r="IO251" s="28"/>
      <c r="IP251" s="28"/>
      <c r="IQ251" s="28"/>
      <c r="IR251" s="28"/>
      <c r="IS251" s="28"/>
      <c r="IT251" s="28"/>
      <c r="IU251" s="28"/>
      <c r="IV251" s="28"/>
      <c r="IW251" s="28"/>
    </row>
    <row r="252" spans="1:257" s="1" customFormat="1" hidden="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50"/>
      <c r="AC252" s="50"/>
      <c r="AD252" s="50"/>
      <c r="AE252" s="296" t="s">
        <v>540</v>
      </c>
      <c r="AF252" s="281" t="s">
        <v>432</v>
      </c>
      <c r="AG252" s="268">
        <v>15</v>
      </c>
      <c r="AH252" s="225" t="e">
        <f>NA()</f>
        <v>#N/A</v>
      </c>
      <c r="AI252" s="299">
        <v>15.2</v>
      </c>
      <c r="AJ252" s="299">
        <v>16.14</v>
      </c>
      <c r="AK252" s="301">
        <v>36.516903876610513</v>
      </c>
      <c r="AL252" s="302">
        <f t="shared" si="65"/>
        <v>27.387677907457885</v>
      </c>
      <c r="AM252" s="52"/>
      <c r="AN252" s="51"/>
      <c r="AO252" s="51"/>
      <c r="AP252" s="59"/>
      <c r="AQ252" s="59"/>
      <c r="AR252" s="59"/>
      <c r="AS252" s="59"/>
      <c r="AT252" s="59"/>
      <c r="AU252" s="50"/>
      <c r="AV252" s="50"/>
      <c r="AW252" s="56"/>
      <c r="AX252" s="56"/>
      <c r="AY252" s="56"/>
      <c r="AZ252" s="56"/>
      <c r="BA252" s="56"/>
      <c r="BB252" s="56"/>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8"/>
      <c r="GR252" s="28"/>
      <c r="GS252" s="28"/>
      <c r="GT252" s="28"/>
      <c r="GU252" s="28"/>
      <c r="GV252" s="28"/>
      <c r="GW252" s="28"/>
      <c r="GX252" s="28"/>
      <c r="GY252" s="28"/>
      <c r="GZ252" s="28"/>
      <c r="HA252" s="28"/>
      <c r="HB252" s="28"/>
      <c r="HC252" s="28"/>
      <c r="HD252" s="28"/>
      <c r="HE252" s="28"/>
      <c r="HF252" s="28"/>
      <c r="HG252" s="28"/>
      <c r="HH252" s="28"/>
      <c r="HI252" s="28"/>
      <c r="HJ252" s="28"/>
      <c r="HK252" s="28"/>
      <c r="HL252" s="28"/>
      <c r="HM252" s="28"/>
      <c r="HN252" s="28"/>
      <c r="HO252" s="28"/>
      <c r="HP252" s="28"/>
      <c r="HQ252" s="28"/>
      <c r="HR252" s="28"/>
      <c r="HS252" s="28"/>
      <c r="HT252" s="28"/>
      <c r="HU252" s="28"/>
      <c r="HV252" s="28"/>
      <c r="HW252" s="28"/>
      <c r="HX252" s="28"/>
      <c r="HY252" s="28"/>
      <c r="HZ252" s="28"/>
      <c r="IA252" s="28"/>
      <c r="IB252" s="28"/>
      <c r="IC252" s="28"/>
      <c r="ID252" s="28"/>
      <c r="IE252" s="28"/>
      <c r="IF252" s="28"/>
      <c r="IG252" s="28"/>
      <c r="IH252" s="28"/>
      <c r="II252" s="28"/>
      <c r="IJ252" s="28"/>
      <c r="IK252" s="28"/>
      <c r="IL252" s="28"/>
      <c r="IM252" s="28"/>
      <c r="IN252" s="28"/>
      <c r="IO252" s="28"/>
      <c r="IP252" s="28"/>
      <c r="IQ252" s="28"/>
      <c r="IR252" s="28"/>
      <c r="IS252" s="28"/>
      <c r="IT252" s="28"/>
      <c r="IU252" s="28"/>
      <c r="IV252" s="28"/>
      <c r="IW252" s="28"/>
    </row>
    <row r="253" spans="1:257" s="1" customFormat="1" hidden="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50"/>
      <c r="AC253" s="50"/>
      <c r="AD253" s="50"/>
      <c r="AE253" s="296" t="s">
        <v>541</v>
      </c>
      <c r="AF253" s="281" t="s">
        <v>432</v>
      </c>
      <c r="AG253" s="268">
        <v>15</v>
      </c>
      <c r="AH253" s="225" t="e">
        <f>NA()</f>
        <v>#N/A</v>
      </c>
      <c r="AI253" s="299">
        <v>15.2</v>
      </c>
      <c r="AJ253" s="299">
        <v>16.14</v>
      </c>
      <c r="AK253" s="301">
        <v>36.516903876610513</v>
      </c>
      <c r="AL253" s="302">
        <f t="shared" si="65"/>
        <v>27.387677907457885</v>
      </c>
      <c r="AM253" s="52"/>
      <c r="AN253" s="51"/>
      <c r="AO253" s="51"/>
      <c r="AP253" s="59"/>
      <c r="AQ253" s="59"/>
      <c r="AR253" s="59"/>
      <c r="AS253" s="59"/>
      <c r="AT253" s="59"/>
      <c r="AU253" s="50"/>
      <c r="AV253" s="50"/>
      <c r="AW253" s="56"/>
      <c r="AX253" s="56"/>
      <c r="AY253" s="56"/>
      <c r="AZ253" s="56"/>
      <c r="BA253" s="56"/>
      <c r="BB253" s="56"/>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c r="IC253" s="28"/>
      <c r="ID253" s="28"/>
      <c r="IE253" s="28"/>
      <c r="IF253" s="28"/>
      <c r="IG253" s="28"/>
      <c r="IH253" s="28"/>
      <c r="II253" s="28"/>
      <c r="IJ253" s="28"/>
      <c r="IK253" s="28"/>
      <c r="IL253" s="28"/>
      <c r="IM253" s="28"/>
      <c r="IN253" s="28"/>
      <c r="IO253" s="28"/>
      <c r="IP253" s="28"/>
      <c r="IQ253" s="28"/>
      <c r="IR253" s="28"/>
      <c r="IS253" s="28"/>
      <c r="IT253" s="28"/>
      <c r="IU253" s="28"/>
      <c r="IV253" s="28"/>
      <c r="IW253" s="28"/>
    </row>
    <row r="254" spans="1:257" s="1" customFormat="1" hidden="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50"/>
      <c r="AC254" s="50"/>
      <c r="AD254" s="50"/>
      <c r="AE254" s="296" t="s">
        <v>542</v>
      </c>
      <c r="AF254" s="281" t="s">
        <v>453</v>
      </c>
      <c r="AG254" s="268">
        <v>30</v>
      </c>
      <c r="AH254" s="225" t="e">
        <f>NA()</f>
        <v>#N/A</v>
      </c>
      <c r="AI254" s="299">
        <v>16.149999999999999</v>
      </c>
      <c r="AJ254" s="299">
        <v>17.09</v>
      </c>
      <c r="AK254" s="301">
        <v>55.789714255932722</v>
      </c>
      <c r="AL254" s="302">
        <f t="shared" si="65"/>
        <v>41.842285691949542</v>
      </c>
      <c r="AM254" s="52"/>
      <c r="AN254" s="51"/>
      <c r="AO254" s="51"/>
      <c r="AP254" s="59"/>
      <c r="AQ254" s="59"/>
      <c r="AR254" s="59"/>
      <c r="AS254" s="59"/>
      <c r="AT254" s="59"/>
      <c r="AU254" s="50"/>
      <c r="AV254" s="50"/>
      <c r="AW254" s="56"/>
      <c r="AX254" s="56"/>
      <c r="AY254" s="56"/>
      <c r="AZ254" s="56"/>
      <c r="BA254" s="56"/>
      <c r="BB254" s="56"/>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8"/>
      <c r="GR254" s="28"/>
      <c r="GS254" s="28"/>
      <c r="GT254" s="28"/>
      <c r="GU254" s="28"/>
      <c r="GV254" s="28"/>
      <c r="GW254" s="28"/>
      <c r="GX254" s="28"/>
      <c r="GY254" s="28"/>
      <c r="GZ254" s="28"/>
      <c r="HA254" s="28"/>
      <c r="HB254" s="28"/>
      <c r="HC254" s="28"/>
      <c r="HD254" s="28"/>
      <c r="HE254" s="28"/>
      <c r="HF254" s="28"/>
      <c r="HG254" s="28"/>
      <c r="HH254" s="28"/>
      <c r="HI254" s="28"/>
      <c r="HJ254" s="28"/>
      <c r="HK254" s="28"/>
      <c r="HL254" s="28"/>
      <c r="HM254" s="28"/>
      <c r="HN254" s="28"/>
      <c r="HO254" s="28"/>
      <c r="HP254" s="28"/>
      <c r="HQ254" s="28"/>
      <c r="HR254" s="28"/>
      <c r="HS254" s="28"/>
      <c r="HT254" s="28"/>
      <c r="HU254" s="28"/>
      <c r="HV254" s="28"/>
      <c r="HW254" s="28"/>
      <c r="HX254" s="28"/>
      <c r="HY254" s="28"/>
      <c r="HZ254" s="28"/>
      <c r="IA254" s="28"/>
      <c r="IB254" s="28"/>
      <c r="IC254" s="28"/>
      <c r="ID254" s="28"/>
      <c r="IE254" s="28"/>
      <c r="IF254" s="28"/>
      <c r="IG254" s="28"/>
      <c r="IH254" s="28"/>
      <c r="II254" s="28"/>
      <c r="IJ254" s="28"/>
      <c r="IK254" s="28"/>
      <c r="IL254" s="28"/>
      <c r="IM254" s="28"/>
      <c r="IN254" s="28"/>
      <c r="IO254" s="28"/>
      <c r="IP254" s="28"/>
      <c r="IQ254" s="28"/>
      <c r="IR254" s="28"/>
      <c r="IS254" s="28"/>
      <c r="IT254" s="28"/>
      <c r="IU254" s="28"/>
      <c r="IV254" s="28"/>
      <c r="IW254" s="28"/>
    </row>
    <row r="255" spans="1:257" s="1" customFormat="1" hidden="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50"/>
      <c r="AC255" s="50"/>
      <c r="AD255" s="50"/>
      <c r="AE255" s="296" t="s">
        <v>543</v>
      </c>
      <c r="AF255" s="281" t="s">
        <v>453</v>
      </c>
      <c r="AG255" s="268">
        <v>30</v>
      </c>
      <c r="AH255" s="225" t="e">
        <f>NA()</f>
        <v>#N/A</v>
      </c>
      <c r="AI255" s="299">
        <v>16.149999999999999</v>
      </c>
      <c r="AJ255" s="299">
        <v>17.09</v>
      </c>
      <c r="AK255" s="301">
        <v>55.789714255932722</v>
      </c>
      <c r="AL255" s="302">
        <f t="shared" si="65"/>
        <v>41.842285691949542</v>
      </c>
      <c r="AM255" s="52"/>
      <c r="AN255" s="51"/>
      <c r="AO255" s="51"/>
      <c r="AP255" s="59"/>
      <c r="AQ255" s="59"/>
      <c r="AR255" s="59"/>
      <c r="AS255" s="59"/>
      <c r="AT255" s="59"/>
      <c r="AU255" s="50"/>
      <c r="AV255" s="50"/>
      <c r="AW255" s="56"/>
      <c r="AX255" s="56"/>
      <c r="AY255" s="56"/>
      <c r="AZ255" s="56"/>
      <c r="BA255" s="56"/>
      <c r="BB255" s="56"/>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c r="IC255" s="28"/>
      <c r="ID255" s="28"/>
      <c r="IE255" s="28"/>
      <c r="IF255" s="28"/>
      <c r="IG255" s="28"/>
      <c r="IH255" s="28"/>
      <c r="II255" s="28"/>
      <c r="IJ255" s="28"/>
      <c r="IK255" s="28"/>
      <c r="IL255" s="28"/>
      <c r="IM255" s="28"/>
      <c r="IN255" s="28"/>
      <c r="IO255" s="28"/>
      <c r="IP255" s="28"/>
      <c r="IQ255" s="28"/>
      <c r="IR255" s="28"/>
      <c r="IS255" s="28"/>
      <c r="IT255" s="28"/>
      <c r="IU255" s="28"/>
      <c r="IV255" s="28"/>
      <c r="IW255" s="28"/>
    </row>
    <row r="256" spans="1:257" s="1" customFormat="1" hidden="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50"/>
      <c r="AC256" s="50"/>
      <c r="AD256" s="50"/>
      <c r="AE256" s="296" t="s">
        <v>544</v>
      </c>
      <c r="AF256" s="281" t="s">
        <v>453</v>
      </c>
      <c r="AG256" s="268">
        <v>30</v>
      </c>
      <c r="AH256" s="225" t="e">
        <f>NA()</f>
        <v>#N/A</v>
      </c>
      <c r="AI256" s="299">
        <v>16.149999999999999</v>
      </c>
      <c r="AJ256" s="299">
        <v>17.09</v>
      </c>
      <c r="AK256" s="301">
        <v>55.789714255932722</v>
      </c>
      <c r="AL256" s="302">
        <f t="shared" si="65"/>
        <v>41.842285691949542</v>
      </c>
      <c r="AM256" s="52"/>
      <c r="AN256" s="51"/>
      <c r="AO256" s="51"/>
      <c r="AP256" s="59"/>
      <c r="AQ256" s="59"/>
      <c r="AR256" s="59"/>
      <c r="AS256" s="59"/>
      <c r="AT256" s="59"/>
      <c r="AU256" s="50"/>
      <c r="AV256" s="50"/>
      <c r="AW256" s="56"/>
      <c r="AX256" s="56"/>
      <c r="AY256" s="56"/>
      <c r="AZ256" s="56"/>
      <c r="BA256" s="56"/>
      <c r="BB256" s="56"/>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c r="GE256" s="28"/>
      <c r="GF256" s="28"/>
      <c r="GG256" s="28"/>
      <c r="GH256" s="28"/>
      <c r="GI256" s="28"/>
      <c r="GJ256" s="28"/>
      <c r="GK256" s="28"/>
      <c r="GL256" s="28"/>
      <c r="GM256" s="28"/>
      <c r="GN256" s="28"/>
      <c r="GO256" s="28"/>
      <c r="GP256" s="28"/>
      <c r="GQ256" s="28"/>
      <c r="GR256" s="28"/>
      <c r="GS256" s="28"/>
      <c r="GT256" s="28"/>
      <c r="GU256" s="28"/>
      <c r="GV256" s="28"/>
      <c r="GW256" s="28"/>
      <c r="GX256" s="28"/>
      <c r="GY256" s="28"/>
      <c r="GZ256" s="28"/>
      <c r="HA256" s="28"/>
      <c r="HB256" s="28"/>
      <c r="HC256" s="28"/>
      <c r="HD256" s="28"/>
      <c r="HE256" s="28"/>
      <c r="HF256" s="28"/>
      <c r="HG256" s="28"/>
      <c r="HH256" s="28"/>
      <c r="HI256" s="28"/>
      <c r="HJ256" s="28"/>
      <c r="HK256" s="28"/>
      <c r="HL256" s="28"/>
      <c r="HM256" s="28"/>
      <c r="HN256" s="28"/>
      <c r="HO256" s="28"/>
      <c r="HP256" s="28"/>
      <c r="HQ256" s="28"/>
      <c r="HR256" s="28"/>
      <c r="HS256" s="28"/>
      <c r="HT256" s="28"/>
      <c r="HU256" s="28"/>
      <c r="HV256" s="28"/>
      <c r="HW256" s="28"/>
      <c r="HX256" s="28"/>
      <c r="HY256" s="28"/>
      <c r="HZ256" s="28"/>
      <c r="IA256" s="28"/>
      <c r="IB256" s="28"/>
      <c r="IC256" s="28"/>
      <c r="ID256" s="28"/>
      <c r="IE256" s="28"/>
      <c r="IF256" s="28"/>
      <c r="IG256" s="28"/>
      <c r="IH256" s="28"/>
      <c r="II256" s="28"/>
      <c r="IJ256" s="28"/>
      <c r="IK256" s="28"/>
      <c r="IL256" s="28"/>
      <c r="IM256" s="28"/>
      <c r="IN256" s="28"/>
      <c r="IO256" s="28"/>
      <c r="IP256" s="28"/>
      <c r="IQ256" s="28"/>
      <c r="IR256" s="28"/>
      <c r="IS256" s="28"/>
      <c r="IT256" s="28"/>
      <c r="IU256" s="28"/>
      <c r="IV256" s="28"/>
      <c r="IW256" s="28"/>
    </row>
    <row r="257" spans="1:257" s="1" customFormat="1" hidden="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50"/>
      <c r="AC257" s="50"/>
      <c r="AD257" s="50"/>
      <c r="AE257" s="296" t="s">
        <v>545</v>
      </c>
      <c r="AF257" s="281" t="s">
        <v>453</v>
      </c>
      <c r="AG257" s="268">
        <v>30</v>
      </c>
      <c r="AH257" s="225" t="e">
        <f>NA()</f>
        <v>#N/A</v>
      </c>
      <c r="AI257" s="299">
        <v>16.149999999999999</v>
      </c>
      <c r="AJ257" s="299">
        <v>17.09</v>
      </c>
      <c r="AK257" s="301">
        <v>55.789714255932722</v>
      </c>
      <c r="AL257" s="302">
        <f t="shared" si="65"/>
        <v>41.842285691949542</v>
      </c>
      <c r="AM257" s="52"/>
      <c r="AN257" s="51"/>
      <c r="AO257" s="51"/>
      <c r="AP257" s="59"/>
      <c r="AQ257" s="59"/>
      <c r="AR257" s="59"/>
      <c r="AS257" s="59"/>
      <c r="AT257" s="59"/>
      <c r="AU257" s="50"/>
      <c r="AV257" s="50"/>
      <c r="AW257" s="56"/>
      <c r="AX257" s="56"/>
      <c r="AY257" s="56"/>
      <c r="AZ257" s="56"/>
      <c r="BA257" s="56"/>
      <c r="BB257" s="56"/>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8"/>
      <c r="GR257" s="28"/>
      <c r="GS257" s="28"/>
      <c r="GT257" s="28"/>
      <c r="GU257" s="28"/>
      <c r="GV257" s="28"/>
      <c r="GW257" s="28"/>
      <c r="GX257" s="28"/>
      <c r="GY257" s="28"/>
      <c r="GZ257" s="28"/>
      <c r="HA257" s="28"/>
      <c r="HB257" s="28"/>
      <c r="HC257" s="28"/>
      <c r="HD257" s="28"/>
      <c r="HE257" s="28"/>
      <c r="HF257" s="28"/>
      <c r="HG257" s="28"/>
      <c r="HH257" s="28"/>
      <c r="HI257" s="28"/>
      <c r="HJ257" s="28"/>
      <c r="HK257" s="28"/>
      <c r="HL257" s="28"/>
      <c r="HM257" s="28"/>
      <c r="HN257" s="28"/>
      <c r="HO257" s="28"/>
      <c r="HP257" s="28"/>
      <c r="HQ257" s="28"/>
      <c r="HR257" s="28"/>
      <c r="HS257" s="28"/>
      <c r="HT257" s="28"/>
      <c r="HU257" s="28"/>
      <c r="HV257" s="28"/>
      <c r="HW257" s="28"/>
      <c r="HX257" s="28"/>
      <c r="HY257" s="28"/>
      <c r="HZ257" s="28"/>
      <c r="IA257" s="28"/>
      <c r="IB257" s="28"/>
      <c r="IC257" s="28"/>
      <c r="ID257" s="28"/>
      <c r="IE257" s="28"/>
      <c r="IF257" s="28"/>
      <c r="IG257" s="28"/>
      <c r="IH257" s="28"/>
      <c r="II257" s="28"/>
      <c r="IJ257" s="28"/>
      <c r="IK257" s="28"/>
      <c r="IL257" s="28"/>
      <c r="IM257" s="28"/>
      <c r="IN257" s="28"/>
      <c r="IO257" s="28"/>
      <c r="IP257" s="28"/>
      <c r="IQ257" s="28"/>
      <c r="IR257" s="28"/>
      <c r="IS257" s="28"/>
      <c r="IT257" s="28"/>
      <c r="IU257" s="28"/>
      <c r="IV257" s="28"/>
      <c r="IW257" s="28"/>
    </row>
    <row r="258" spans="1:257" s="1" customFormat="1" hidden="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50"/>
      <c r="AC258" s="50"/>
      <c r="AD258" s="50"/>
      <c r="AE258" s="296" t="s">
        <v>546</v>
      </c>
      <c r="AF258" s="281" t="s">
        <v>453</v>
      </c>
      <c r="AG258" s="268">
        <v>30</v>
      </c>
      <c r="AH258" s="225" t="e">
        <f>NA()</f>
        <v>#N/A</v>
      </c>
      <c r="AI258" s="299">
        <v>16.149999999999999</v>
      </c>
      <c r="AJ258" s="299">
        <v>17.09</v>
      </c>
      <c r="AK258" s="301">
        <v>55.789714255932722</v>
      </c>
      <c r="AL258" s="302">
        <f t="shared" si="65"/>
        <v>41.842285691949542</v>
      </c>
      <c r="AM258" s="52"/>
      <c r="AN258" s="51"/>
      <c r="AO258" s="51"/>
      <c r="AP258" s="59"/>
      <c r="AQ258" s="59"/>
      <c r="AR258" s="59"/>
      <c r="AS258" s="59"/>
      <c r="AT258" s="59"/>
      <c r="AU258" s="50"/>
      <c r="AV258" s="50"/>
      <c r="AW258" s="56"/>
      <c r="AX258" s="56"/>
      <c r="AY258" s="56"/>
      <c r="AZ258" s="56"/>
      <c r="BA258" s="56"/>
      <c r="BB258" s="56"/>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8"/>
      <c r="GR258" s="28"/>
      <c r="GS258" s="28"/>
      <c r="GT258" s="28"/>
      <c r="GU258" s="28"/>
      <c r="GV258" s="28"/>
      <c r="GW258" s="28"/>
      <c r="GX258" s="28"/>
      <c r="GY258" s="28"/>
      <c r="GZ258" s="28"/>
      <c r="HA258" s="28"/>
      <c r="HB258" s="28"/>
      <c r="HC258" s="28"/>
      <c r="HD258" s="28"/>
      <c r="HE258" s="28"/>
      <c r="HF258" s="28"/>
      <c r="HG258" s="28"/>
      <c r="HH258" s="28"/>
      <c r="HI258" s="28"/>
      <c r="HJ258" s="28"/>
      <c r="HK258" s="28"/>
      <c r="HL258" s="28"/>
      <c r="HM258" s="28"/>
      <c r="HN258" s="28"/>
      <c r="HO258" s="28"/>
      <c r="HP258" s="28"/>
      <c r="HQ258" s="28"/>
      <c r="HR258" s="28"/>
      <c r="HS258" s="28"/>
      <c r="HT258" s="28"/>
      <c r="HU258" s="28"/>
      <c r="HV258" s="28"/>
      <c r="HW258" s="28"/>
      <c r="HX258" s="28"/>
      <c r="HY258" s="28"/>
      <c r="HZ258" s="28"/>
      <c r="IA258" s="28"/>
      <c r="IB258" s="28"/>
      <c r="IC258" s="28"/>
      <c r="ID258" s="28"/>
      <c r="IE258" s="28"/>
      <c r="IF258" s="28"/>
      <c r="IG258" s="28"/>
      <c r="IH258" s="28"/>
      <c r="II258" s="28"/>
      <c r="IJ258" s="28"/>
      <c r="IK258" s="28"/>
      <c r="IL258" s="28"/>
      <c r="IM258" s="28"/>
      <c r="IN258" s="28"/>
      <c r="IO258" s="28"/>
      <c r="IP258" s="28"/>
      <c r="IQ258" s="28"/>
      <c r="IR258" s="28"/>
      <c r="IS258" s="28"/>
      <c r="IT258" s="28"/>
      <c r="IU258" s="28"/>
      <c r="IV258" s="28"/>
      <c r="IW258" s="28"/>
    </row>
    <row r="259" spans="1:257" s="1" customFormat="1" hidden="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50"/>
      <c r="AC259" s="50"/>
      <c r="AD259" s="50"/>
      <c r="AE259" s="296" t="s">
        <v>547</v>
      </c>
      <c r="AF259" s="281" t="s">
        <v>453</v>
      </c>
      <c r="AG259" s="268">
        <v>30</v>
      </c>
      <c r="AH259" s="225" t="e">
        <f>NA()</f>
        <v>#N/A</v>
      </c>
      <c r="AI259" s="299">
        <v>16.149999999999999</v>
      </c>
      <c r="AJ259" s="299">
        <v>17.09</v>
      </c>
      <c r="AK259" s="301">
        <v>55.789714255932722</v>
      </c>
      <c r="AL259" s="302">
        <f t="shared" si="65"/>
        <v>41.842285691949542</v>
      </c>
      <c r="AM259" s="52"/>
      <c r="AN259" s="51"/>
      <c r="AO259" s="51"/>
      <c r="AP259" s="59"/>
      <c r="AQ259" s="59"/>
      <c r="AR259" s="59"/>
      <c r="AS259" s="59"/>
      <c r="AT259" s="59"/>
      <c r="AU259" s="50"/>
      <c r="AV259" s="50"/>
      <c r="AW259" s="56"/>
      <c r="AX259" s="56"/>
      <c r="AY259" s="56"/>
      <c r="AZ259" s="56"/>
      <c r="BA259" s="56"/>
      <c r="BB259" s="56"/>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c r="IO259" s="28"/>
      <c r="IP259" s="28"/>
      <c r="IQ259" s="28"/>
      <c r="IR259" s="28"/>
      <c r="IS259" s="28"/>
      <c r="IT259" s="28"/>
      <c r="IU259" s="28"/>
      <c r="IV259" s="28"/>
      <c r="IW259" s="28"/>
    </row>
    <row r="260" spans="1:257" s="1" customFormat="1" hidden="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50"/>
      <c r="AC260" s="50"/>
      <c r="AD260" s="50"/>
      <c r="AE260" s="296" t="s">
        <v>548</v>
      </c>
      <c r="AF260" s="281" t="s">
        <v>471</v>
      </c>
      <c r="AG260" s="268">
        <v>40</v>
      </c>
      <c r="AH260" s="225" t="e">
        <f>NA()</f>
        <v>#N/A</v>
      </c>
      <c r="AI260" s="299">
        <v>17.100000000000001</v>
      </c>
      <c r="AJ260" s="299">
        <v>30</v>
      </c>
      <c r="AK260" s="301">
        <v>75.062524635254931</v>
      </c>
      <c r="AL260" s="302">
        <f t="shared" si="65"/>
        <v>56.296893476441198</v>
      </c>
      <c r="AM260" s="52"/>
      <c r="AN260" s="51"/>
      <c r="AO260" s="51"/>
      <c r="AP260" s="59"/>
      <c r="AQ260" s="59"/>
      <c r="AR260" s="59"/>
      <c r="AS260" s="59"/>
      <c r="AT260" s="59"/>
      <c r="AU260" s="50"/>
      <c r="AV260" s="50"/>
      <c r="AW260" s="56"/>
      <c r="AX260" s="56"/>
      <c r="AY260" s="56"/>
      <c r="AZ260" s="56"/>
      <c r="BA260" s="56"/>
      <c r="BB260" s="56"/>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8"/>
      <c r="GR260" s="28"/>
      <c r="GS260" s="28"/>
      <c r="GT260" s="28"/>
      <c r="GU260" s="28"/>
      <c r="GV260" s="28"/>
      <c r="GW260" s="28"/>
      <c r="GX260" s="28"/>
      <c r="GY260" s="28"/>
      <c r="GZ260" s="28"/>
      <c r="HA260" s="28"/>
      <c r="HB260" s="28"/>
      <c r="HC260" s="28"/>
      <c r="HD260" s="28"/>
      <c r="HE260" s="28"/>
      <c r="HF260" s="28"/>
      <c r="HG260" s="28"/>
      <c r="HH260" s="28"/>
      <c r="HI260" s="28"/>
      <c r="HJ260" s="28"/>
      <c r="HK260" s="28"/>
      <c r="HL260" s="28"/>
      <c r="HM260" s="28"/>
      <c r="HN260" s="28"/>
      <c r="HO260" s="28"/>
      <c r="HP260" s="28"/>
      <c r="HQ260" s="28"/>
      <c r="HR260" s="28"/>
      <c r="HS260" s="28"/>
      <c r="HT260" s="28"/>
      <c r="HU260" s="28"/>
      <c r="HV260" s="28"/>
      <c r="HW260" s="28"/>
      <c r="HX260" s="28"/>
      <c r="HY260" s="28"/>
      <c r="HZ260" s="28"/>
      <c r="IA260" s="28"/>
      <c r="IB260" s="28"/>
      <c r="IC260" s="28"/>
      <c r="ID260" s="28"/>
      <c r="IE260" s="28"/>
      <c r="IF260" s="28"/>
      <c r="IG260" s="28"/>
      <c r="IH260" s="28"/>
      <c r="II260" s="28"/>
      <c r="IJ260" s="28"/>
      <c r="IK260" s="28"/>
      <c r="IL260" s="28"/>
      <c r="IM260" s="28"/>
      <c r="IN260" s="28"/>
      <c r="IO260" s="28"/>
      <c r="IP260" s="28"/>
      <c r="IQ260" s="28"/>
      <c r="IR260" s="28"/>
      <c r="IS260" s="28"/>
      <c r="IT260" s="28"/>
      <c r="IU260" s="28"/>
      <c r="IV260" s="28"/>
      <c r="IW260" s="28"/>
    </row>
    <row r="261" spans="1:257" s="1" customFormat="1" hidden="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50"/>
      <c r="AC261" s="50"/>
      <c r="AD261" s="50"/>
      <c r="AE261" s="296" t="s">
        <v>549</v>
      </c>
      <c r="AF261" s="281" t="s">
        <v>471</v>
      </c>
      <c r="AG261" s="268">
        <v>40</v>
      </c>
      <c r="AH261" s="225" t="e">
        <f>NA()</f>
        <v>#N/A</v>
      </c>
      <c r="AI261" s="299">
        <v>17.100000000000001</v>
      </c>
      <c r="AJ261" s="299">
        <v>30</v>
      </c>
      <c r="AK261" s="301">
        <v>75.062524635254931</v>
      </c>
      <c r="AL261" s="302">
        <f t="shared" si="65"/>
        <v>56.296893476441198</v>
      </c>
      <c r="AM261" s="52"/>
      <c r="AN261" s="51"/>
      <c r="AO261" s="51"/>
      <c r="AP261" s="59"/>
      <c r="AQ261" s="59"/>
      <c r="AR261" s="59"/>
      <c r="AS261" s="59"/>
      <c r="AT261" s="59"/>
      <c r="AU261" s="50"/>
      <c r="AV261" s="50"/>
      <c r="AW261" s="56"/>
      <c r="AX261" s="56"/>
      <c r="AY261" s="56"/>
      <c r="AZ261" s="56"/>
      <c r="BA261" s="56"/>
      <c r="BB261" s="56"/>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8"/>
      <c r="GR261" s="28"/>
      <c r="GS261" s="28"/>
      <c r="GT261" s="28"/>
      <c r="GU261" s="28"/>
      <c r="GV261" s="28"/>
      <c r="GW261" s="28"/>
      <c r="GX261" s="28"/>
      <c r="GY261" s="28"/>
      <c r="GZ261" s="28"/>
      <c r="HA261" s="28"/>
      <c r="HB261" s="28"/>
      <c r="HC261" s="28"/>
      <c r="HD261" s="28"/>
      <c r="HE261" s="28"/>
      <c r="HF261" s="28"/>
      <c r="HG261" s="28"/>
      <c r="HH261" s="28"/>
      <c r="HI261" s="28"/>
      <c r="HJ261" s="28"/>
      <c r="HK261" s="28"/>
      <c r="HL261" s="28"/>
      <c r="HM261" s="28"/>
      <c r="HN261" s="28"/>
      <c r="HO261" s="28"/>
      <c r="HP261" s="28"/>
      <c r="HQ261" s="28"/>
      <c r="HR261" s="28"/>
      <c r="HS261" s="28"/>
      <c r="HT261" s="28"/>
      <c r="HU261" s="28"/>
      <c r="HV261" s="28"/>
      <c r="HW261" s="28"/>
      <c r="HX261" s="28"/>
      <c r="HY261" s="28"/>
      <c r="HZ261" s="28"/>
      <c r="IA261" s="28"/>
      <c r="IB261" s="28"/>
      <c r="IC261" s="28"/>
      <c r="ID261" s="28"/>
      <c r="IE261" s="28"/>
      <c r="IF261" s="28"/>
      <c r="IG261" s="28"/>
      <c r="IH261" s="28"/>
      <c r="II261" s="28"/>
      <c r="IJ261" s="28"/>
      <c r="IK261" s="28"/>
      <c r="IL261" s="28"/>
      <c r="IM261" s="28"/>
      <c r="IN261" s="28"/>
      <c r="IO261" s="28"/>
      <c r="IP261" s="28"/>
      <c r="IQ261" s="28"/>
      <c r="IR261" s="28"/>
      <c r="IS261" s="28"/>
      <c r="IT261" s="28"/>
      <c r="IU261" s="28"/>
      <c r="IV261" s="28"/>
      <c r="IW261" s="28"/>
    </row>
    <row r="262" spans="1:257" s="1" customFormat="1" hidden="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50"/>
      <c r="AC262" s="50"/>
      <c r="AD262" s="50"/>
      <c r="AE262" s="296" t="s">
        <v>550</v>
      </c>
      <c r="AF262" s="281" t="s">
        <v>471</v>
      </c>
      <c r="AG262" s="268">
        <v>40</v>
      </c>
      <c r="AH262" s="225" t="e">
        <f>NA()</f>
        <v>#N/A</v>
      </c>
      <c r="AI262" s="299">
        <v>17.100000000000001</v>
      </c>
      <c r="AJ262" s="299">
        <v>30</v>
      </c>
      <c r="AK262" s="301">
        <v>75.062524635254931</v>
      </c>
      <c r="AL262" s="302">
        <f t="shared" si="65"/>
        <v>56.296893476441198</v>
      </c>
      <c r="AM262" s="52"/>
      <c r="AN262" s="51"/>
      <c r="AO262" s="51"/>
      <c r="AP262" s="59"/>
      <c r="AQ262" s="59"/>
      <c r="AR262" s="59"/>
      <c r="AS262" s="59"/>
      <c r="AT262" s="59"/>
      <c r="AU262" s="50"/>
      <c r="AV262" s="50"/>
      <c r="AW262" s="56"/>
      <c r="AX262" s="56"/>
      <c r="AY262" s="56"/>
      <c r="AZ262" s="56"/>
      <c r="BA262" s="56"/>
      <c r="BB262" s="56"/>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8"/>
      <c r="GR262" s="28"/>
      <c r="GS262" s="28"/>
      <c r="GT262" s="28"/>
      <c r="GU262" s="28"/>
      <c r="GV262" s="28"/>
      <c r="GW262" s="28"/>
      <c r="GX262" s="28"/>
      <c r="GY262" s="28"/>
      <c r="GZ262" s="28"/>
      <c r="HA262" s="28"/>
      <c r="HB262" s="28"/>
      <c r="HC262" s="28"/>
      <c r="HD262" s="28"/>
      <c r="HE262" s="28"/>
      <c r="HF262" s="28"/>
      <c r="HG262" s="28"/>
      <c r="HH262" s="28"/>
      <c r="HI262" s="28"/>
      <c r="HJ262" s="28"/>
      <c r="HK262" s="28"/>
      <c r="HL262" s="28"/>
      <c r="HM262" s="28"/>
      <c r="HN262" s="28"/>
      <c r="HO262" s="28"/>
      <c r="HP262" s="28"/>
      <c r="HQ262" s="28"/>
      <c r="HR262" s="28"/>
      <c r="HS262" s="28"/>
      <c r="HT262" s="28"/>
      <c r="HU262" s="28"/>
      <c r="HV262" s="28"/>
      <c r="HW262" s="28"/>
      <c r="HX262" s="28"/>
      <c r="HY262" s="28"/>
      <c r="HZ262" s="28"/>
      <c r="IA262" s="28"/>
      <c r="IB262" s="28"/>
      <c r="IC262" s="28"/>
      <c r="ID262" s="28"/>
      <c r="IE262" s="28"/>
      <c r="IF262" s="28"/>
      <c r="IG262" s="28"/>
      <c r="IH262" s="28"/>
      <c r="II262" s="28"/>
      <c r="IJ262" s="28"/>
      <c r="IK262" s="28"/>
      <c r="IL262" s="28"/>
      <c r="IM262" s="28"/>
      <c r="IN262" s="28"/>
      <c r="IO262" s="28"/>
      <c r="IP262" s="28"/>
      <c r="IQ262" s="28"/>
      <c r="IR262" s="28"/>
      <c r="IS262" s="28"/>
      <c r="IT262" s="28"/>
      <c r="IU262" s="28"/>
      <c r="IV262" s="28"/>
      <c r="IW262" s="28"/>
    </row>
    <row r="263" spans="1:257" s="1" customFormat="1" hidden="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50"/>
      <c r="AC263" s="50"/>
      <c r="AD263" s="50"/>
      <c r="AE263" s="296" t="s">
        <v>551</v>
      </c>
      <c r="AF263" s="281" t="s">
        <v>471</v>
      </c>
      <c r="AG263" s="268">
        <v>40</v>
      </c>
      <c r="AH263" s="225" t="e">
        <f>NA()</f>
        <v>#N/A</v>
      </c>
      <c r="AI263" s="299">
        <v>17.100000000000001</v>
      </c>
      <c r="AJ263" s="303">
        <v>30</v>
      </c>
      <c r="AK263" s="301">
        <v>75.062524635254931</v>
      </c>
      <c r="AL263" s="302">
        <f t="shared" si="65"/>
        <v>56.296893476441198</v>
      </c>
      <c r="AM263" s="52"/>
      <c r="AN263" s="51"/>
      <c r="AO263" s="51"/>
      <c r="AP263" s="59"/>
      <c r="AQ263" s="59"/>
      <c r="AR263" s="59"/>
      <c r="AS263" s="59"/>
      <c r="AT263" s="59"/>
      <c r="AU263" s="50"/>
      <c r="AV263" s="50"/>
      <c r="AW263" s="56"/>
      <c r="AX263" s="56"/>
      <c r="AY263" s="56"/>
      <c r="AZ263" s="56"/>
      <c r="BA263" s="56"/>
      <c r="BB263" s="56"/>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c r="GE263" s="28"/>
      <c r="GF263" s="28"/>
      <c r="GG263" s="28"/>
      <c r="GH263" s="28"/>
      <c r="GI263" s="28"/>
      <c r="GJ263" s="28"/>
      <c r="GK263" s="28"/>
      <c r="GL263" s="28"/>
      <c r="GM263" s="28"/>
      <c r="GN263" s="28"/>
      <c r="GO263" s="28"/>
      <c r="GP263" s="28"/>
      <c r="GQ263" s="28"/>
      <c r="GR263" s="28"/>
      <c r="GS263" s="28"/>
      <c r="GT263" s="28"/>
      <c r="GU263" s="28"/>
      <c r="GV263" s="28"/>
      <c r="GW263" s="28"/>
      <c r="GX263" s="28"/>
      <c r="GY263" s="28"/>
      <c r="GZ263" s="28"/>
      <c r="HA263" s="28"/>
      <c r="HB263" s="28"/>
      <c r="HC263" s="28"/>
      <c r="HD263" s="28"/>
      <c r="HE263" s="28"/>
      <c r="HF263" s="28"/>
      <c r="HG263" s="28"/>
      <c r="HH263" s="28"/>
      <c r="HI263" s="28"/>
      <c r="HJ263" s="28"/>
      <c r="HK263" s="28"/>
      <c r="HL263" s="28"/>
      <c r="HM263" s="28"/>
      <c r="HN263" s="28"/>
      <c r="HO263" s="28"/>
      <c r="HP263" s="28"/>
      <c r="HQ263" s="28"/>
      <c r="HR263" s="28"/>
      <c r="HS263" s="28"/>
      <c r="HT263" s="28"/>
      <c r="HU263" s="28"/>
      <c r="HV263" s="28"/>
      <c r="HW263" s="28"/>
      <c r="HX263" s="28"/>
      <c r="HY263" s="28"/>
      <c r="HZ263" s="28"/>
      <c r="IA263" s="28"/>
      <c r="IB263" s="28"/>
      <c r="IC263" s="28"/>
      <c r="ID263" s="28"/>
      <c r="IE263" s="28"/>
      <c r="IF263" s="28"/>
      <c r="IG263" s="28"/>
      <c r="IH263" s="28"/>
      <c r="II263" s="28"/>
      <c r="IJ263" s="28"/>
      <c r="IK263" s="28"/>
      <c r="IL263" s="28"/>
      <c r="IM263" s="28"/>
      <c r="IN263" s="28"/>
      <c r="IO263" s="28"/>
      <c r="IP263" s="28"/>
      <c r="IQ263" s="28"/>
      <c r="IR263" s="28"/>
      <c r="IS263" s="28"/>
      <c r="IT263" s="28"/>
      <c r="IU263" s="28"/>
      <c r="IV263" s="28"/>
      <c r="IW263" s="28"/>
    </row>
    <row r="264" spans="1:257" s="1" customFormat="1" hidden="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50"/>
      <c r="AC264" s="50"/>
      <c r="AD264" s="50"/>
      <c r="AE264" s="296" t="s">
        <v>552</v>
      </c>
      <c r="AF264" s="281" t="s">
        <v>471</v>
      </c>
      <c r="AG264" s="268">
        <v>40</v>
      </c>
      <c r="AH264" s="225" t="e">
        <f>NA()</f>
        <v>#N/A</v>
      </c>
      <c r="AI264" s="299">
        <v>17.100000000000001</v>
      </c>
      <c r="AJ264" s="303">
        <v>30</v>
      </c>
      <c r="AK264" s="301">
        <v>75.062524635254931</v>
      </c>
      <c r="AL264" s="302">
        <f t="shared" si="65"/>
        <v>56.296893476441198</v>
      </c>
      <c r="AM264" s="52"/>
      <c r="AN264" s="51"/>
      <c r="AO264" s="51"/>
      <c r="AP264" s="59"/>
      <c r="AQ264" s="59"/>
      <c r="AR264" s="59"/>
      <c r="AS264" s="59"/>
      <c r="AT264" s="59"/>
      <c r="AU264" s="50"/>
      <c r="AV264" s="50"/>
      <c r="AW264" s="56"/>
      <c r="AX264" s="56"/>
      <c r="AY264" s="56"/>
      <c r="AZ264" s="56"/>
      <c r="BA264" s="56"/>
      <c r="BB264" s="56"/>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c r="GG264" s="28"/>
      <c r="GH264" s="28"/>
      <c r="GI264" s="28"/>
      <c r="GJ264" s="28"/>
      <c r="GK264" s="28"/>
      <c r="GL264" s="28"/>
      <c r="GM264" s="28"/>
      <c r="GN264" s="28"/>
      <c r="GO264" s="28"/>
      <c r="GP264" s="28"/>
      <c r="GQ264" s="28"/>
      <c r="GR264" s="28"/>
      <c r="GS264" s="28"/>
      <c r="GT264" s="28"/>
      <c r="GU264" s="28"/>
      <c r="GV264" s="28"/>
      <c r="GW264" s="28"/>
      <c r="GX264" s="28"/>
      <c r="GY264" s="28"/>
      <c r="GZ264" s="28"/>
      <c r="HA264" s="28"/>
      <c r="HB264" s="28"/>
      <c r="HC264" s="28"/>
      <c r="HD264" s="28"/>
      <c r="HE264" s="28"/>
      <c r="HF264" s="28"/>
      <c r="HG264" s="28"/>
      <c r="HH264" s="28"/>
      <c r="HI264" s="28"/>
      <c r="HJ264" s="28"/>
      <c r="HK264" s="28"/>
      <c r="HL264" s="28"/>
      <c r="HM264" s="28"/>
      <c r="HN264" s="28"/>
      <c r="HO264" s="28"/>
      <c r="HP264" s="28"/>
      <c r="HQ264" s="28"/>
      <c r="HR264" s="28"/>
      <c r="HS264" s="28"/>
      <c r="HT264" s="28"/>
      <c r="HU264" s="28"/>
      <c r="HV264" s="28"/>
      <c r="HW264" s="28"/>
      <c r="HX264" s="28"/>
      <c r="HY264" s="28"/>
      <c r="HZ264" s="28"/>
      <c r="IA264" s="28"/>
      <c r="IB264" s="28"/>
      <c r="IC264" s="28"/>
      <c r="ID264" s="28"/>
      <c r="IE264" s="28"/>
      <c r="IF264" s="28"/>
      <c r="IG264" s="28"/>
      <c r="IH264" s="28"/>
      <c r="II264" s="28"/>
      <c r="IJ264" s="28"/>
      <c r="IK264" s="28"/>
      <c r="IL264" s="28"/>
      <c r="IM264" s="28"/>
      <c r="IN264" s="28"/>
      <c r="IO264" s="28"/>
      <c r="IP264" s="28"/>
      <c r="IQ264" s="28"/>
      <c r="IR264" s="28"/>
      <c r="IS264" s="28"/>
      <c r="IT264" s="28"/>
      <c r="IU264" s="28"/>
      <c r="IV264" s="28"/>
      <c r="IW264" s="28"/>
    </row>
    <row r="265" spans="1:257" s="1" customFormat="1" hidden="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50"/>
      <c r="AC265" s="50"/>
      <c r="AD265" s="50"/>
      <c r="AE265" s="296" t="s">
        <v>553</v>
      </c>
      <c r="AF265" s="281" t="s">
        <v>471</v>
      </c>
      <c r="AG265" s="268">
        <v>40</v>
      </c>
      <c r="AH265" s="225" t="e">
        <f>NA()</f>
        <v>#N/A</v>
      </c>
      <c r="AI265" s="299">
        <v>17.100000000000001</v>
      </c>
      <c r="AJ265" s="303">
        <v>30</v>
      </c>
      <c r="AK265" s="301">
        <v>75.062524635254931</v>
      </c>
      <c r="AL265" s="302">
        <f t="shared" si="65"/>
        <v>56.296893476441198</v>
      </c>
      <c r="AM265" s="52"/>
      <c r="AN265" s="51"/>
      <c r="AO265" s="51"/>
      <c r="AP265" s="59"/>
      <c r="AQ265" s="59"/>
      <c r="AR265" s="59"/>
      <c r="AS265" s="59"/>
      <c r="AT265" s="59"/>
      <c r="AU265" s="50"/>
      <c r="AV265" s="50"/>
      <c r="AW265" s="56"/>
      <c r="AX265" s="56"/>
      <c r="AY265" s="56"/>
      <c r="AZ265" s="56"/>
      <c r="BA265" s="56"/>
      <c r="BB265" s="56"/>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8"/>
      <c r="GR265" s="28"/>
      <c r="GS265" s="28"/>
      <c r="GT265" s="28"/>
      <c r="GU265" s="28"/>
      <c r="GV265" s="28"/>
      <c r="GW265" s="28"/>
      <c r="GX265" s="28"/>
      <c r="GY265" s="28"/>
      <c r="GZ265" s="28"/>
      <c r="HA265" s="28"/>
      <c r="HB265" s="28"/>
      <c r="HC265" s="28"/>
      <c r="HD265" s="28"/>
      <c r="HE265" s="28"/>
      <c r="HF265" s="28"/>
      <c r="HG265" s="28"/>
      <c r="HH265" s="28"/>
      <c r="HI265" s="28"/>
      <c r="HJ265" s="28"/>
      <c r="HK265" s="28"/>
      <c r="HL265" s="28"/>
      <c r="HM265" s="28"/>
      <c r="HN265" s="28"/>
      <c r="HO265" s="28"/>
      <c r="HP265" s="28"/>
      <c r="HQ265" s="28"/>
      <c r="HR265" s="28"/>
      <c r="HS265" s="28"/>
      <c r="HT265" s="28"/>
      <c r="HU265" s="28"/>
      <c r="HV265" s="28"/>
      <c r="HW265" s="28"/>
      <c r="HX265" s="28"/>
      <c r="HY265" s="28"/>
      <c r="HZ265" s="28"/>
      <c r="IA265" s="28"/>
      <c r="IB265" s="28"/>
      <c r="IC265" s="28"/>
      <c r="ID265" s="28"/>
      <c r="IE265" s="28"/>
      <c r="IF265" s="28"/>
      <c r="IG265" s="28"/>
      <c r="IH265" s="28"/>
      <c r="II265" s="28"/>
      <c r="IJ265" s="28"/>
      <c r="IK265" s="28"/>
      <c r="IL265" s="28"/>
      <c r="IM265" s="28"/>
      <c r="IN265" s="28"/>
      <c r="IO265" s="28"/>
      <c r="IP265" s="28"/>
      <c r="IQ265" s="28"/>
      <c r="IR265" s="28"/>
      <c r="IS265" s="28"/>
      <c r="IT265" s="28"/>
      <c r="IU265" s="28"/>
      <c r="IV265" s="28"/>
      <c r="IW265" s="28"/>
    </row>
    <row r="266" spans="1:257" s="1" customFormat="1" hidden="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50"/>
      <c r="AC266" s="50"/>
      <c r="AD266" s="50"/>
      <c r="AE266" s="268" t="s">
        <v>554</v>
      </c>
      <c r="AF266" s="281" t="s">
        <v>432</v>
      </c>
      <c r="AG266" s="268">
        <v>15</v>
      </c>
      <c r="AH266" s="225" t="e">
        <f>NA()</f>
        <v>#N/A</v>
      </c>
      <c r="AI266" s="299">
        <v>15.2</v>
      </c>
      <c r="AJ266" s="299">
        <v>16.14</v>
      </c>
      <c r="AK266" s="301">
        <v>45.932261736178134</v>
      </c>
      <c r="AL266" s="302">
        <f t="shared" ref="AL266:AL283" si="66">AK266*0.75</f>
        <v>34.449196302133601</v>
      </c>
      <c r="AM266" s="52"/>
      <c r="AN266" s="51"/>
      <c r="AO266" s="51"/>
      <c r="AP266" s="59"/>
      <c r="AQ266" s="59"/>
      <c r="AR266" s="59"/>
      <c r="AS266" s="59"/>
      <c r="AT266" s="59"/>
      <c r="AU266" s="50"/>
      <c r="AV266" s="50"/>
      <c r="AW266" s="56"/>
      <c r="AX266" s="56"/>
      <c r="AY266" s="56"/>
      <c r="AZ266" s="56"/>
      <c r="BA266" s="56"/>
      <c r="BB266" s="56"/>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c r="GE266" s="28"/>
      <c r="GF266" s="28"/>
      <c r="GG266" s="28"/>
      <c r="GH266" s="28"/>
      <c r="GI266" s="28"/>
      <c r="GJ266" s="28"/>
      <c r="GK266" s="28"/>
      <c r="GL266" s="28"/>
      <c r="GM266" s="28"/>
      <c r="GN266" s="28"/>
      <c r="GO266" s="28"/>
      <c r="GP266" s="28"/>
      <c r="GQ266" s="28"/>
      <c r="GR266" s="28"/>
      <c r="GS266" s="28"/>
      <c r="GT266" s="28"/>
      <c r="GU266" s="28"/>
      <c r="GV266" s="28"/>
      <c r="GW266" s="28"/>
      <c r="GX266" s="28"/>
      <c r="GY266" s="28"/>
      <c r="GZ266" s="28"/>
      <c r="HA266" s="28"/>
      <c r="HB266" s="28"/>
      <c r="HC266" s="28"/>
      <c r="HD266" s="28"/>
      <c r="HE266" s="28"/>
      <c r="HF266" s="28"/>
      <c r="HG266" s="28"/>
      <c r="HH266" s="28"/>
      <c r="HI266" s="28"/>
      <c r="HJ266" s="28"/>
      <c r="HK266" s="28"/>
      <c r="HL266" s="28"/>
      <c r="HM266" s="28"/>
      <c r="HN266" s="28"/>
      <c r="HO266" s="28"/>
      <c r="HP266" s="28"/>
      <c r="HQ266" s="28"/>
      <c r="HR266" s="28"/>
      <c r="HS266" s="28"/>
      <c r="HT266" s="28"/>
      <c r="HU266" s="28"/>
      <c r="HV266" s="28"/>
      <c r="HW266" s="28"/>
      <c r="HX266" s="28"/>
      <c r="HY266" s="28"/>
      <c r="HZ266" s="28"/>
      <c r="IA266" s="28"/>
      <c r="IB266" s="28"/>
      <c r="IC266" s="28"/>
      <c r="ID266" s="28"/>
      <c r="IE266" s="28"/>
      <c r="IF266" s="28"/>
      <c r="IG266" s="28"/>
      <c r="IH266" s="28"/>
      <c r="II266" s="28"/>
      <c r="IJ266" s="28"/>
      <c r="IK266" s="28"/>
      <c r="IL266" s="28"/>
      <c r="IM266" s="28"/>
      <c r="IN266" s="28"/>
      <c r="IO266" s="28"/>
      <c r="IP266" s="28"/>
      <c r="IQ266" s="28"/>
      <c r="IR266" s="28"/>
      <c r="IS266" s="28"/>
      <c r="IT266" s="28"/>
      <c r="IU266" s="28"/>
      <c r="IV266" s="28"/>
      <c r="IW266" s="28"/>
    </row>
    <row r="267" spans="1:257" s="1" customFormat="1" hidden="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50"/>
      <c r="AC267" s="50"/>
      <c r="AD267" s="50"/>
      <c r="AE267" s="268" t="s">
        <v>555</v>
      </c>
      <c r="AF267" s="281" t="s">
        <v>432</v>
      </c>
      <c r="AG267" s="268">
        <v>15</v>
      </c>
      <c r="AH267" s="225" t="e">
        <f>NA()</f>
        <v>#N/A</v>
      </c>
      <c r="AI267" s="299">
        <v>15.2</v>
      </c>
      <c r="AJ267" s="299">
        <v>16.14</v>
      </c>
      <c r="AK267" s="301">
        <v>45.932261736178134</v>
      </c>
      <c r="AL267" s="302">
        <f t="shared" si="66"/>
        <v>34.449196302133601</v>
      </c>
      <c r="AM267" s="52"/>
      <c r="AN267" s="51"/>
      <c r="AO267" s="51"/>
      <c r="AP267" s="59"/>
      <c r="AQ267" s="59"/>
      <c r="AR267" s="59"/>
      <c r="AS267" s="59"/>
      <c r="AT267" s="59"/>
      <c r="AU267" s="50"/>
      <c r="AV267" s="50"/>
      <c r="AW267" s="56"/>
      <c r="AX267" s="56"/>
      <c r="AY267" s="56"/>
      <c r="AZ267" s="56"/>
      <c r="BA267" s="56"/>
      <c r="BB267" s="56"/>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c r="FY267" s="28"/>
      <c r="FZ267" s="28"/>
      <c r="GA267" s="28"/>
      <c r="GB267" s="28"/>
      <c r="GC267" s="28"/>
      <c r="GD267" s="28"/>
      <c r="GE267" s="28"/>
      <c r="GF267" s="28"/>
      <c r="GG267" s="28"/>
      <c r="GH267" s="28"/>
      <c r="GI267" s="28"/>
      <c r="GJ267" s="28"/>
      <c r="GK267" s="28"/>
      <c r="GL267" s="28"/>
      <c r="GM267" s="28"/>
      <c r="GN267" s="28"/>
      <c r="GO267" s="28"/>
      <c r="GP267" s="28"/>
      <c r="GQ267" s="28"/>
      <c r="GR267" s="28"/>
      <c r="GS267" s="28"/>
      <c r="GT267" s="28"/>
      <c r="GU267" s="28"/>
      <c r="GV267" s="28"/>
      <c r="GW267" s="28"/>
      <c r="GX267" s="28"/>
      <c r="GY267" s="28"/>
      <c r="GZ267" s="28"/>
      <c r="HA267" s="28"/>
      <c r="HB267" s="28"/>
      <c r="HC267" s="28"/>
      <c r="HD267" s="28"/>
      <c r="HE267" s="28"/>
      <c r="HF267" s="28"/>
      <c r="HG267" s="28"/>
      <c r="HH267" s="28"/>
      <c r="HI267" s="28"/>
      <c r="HJ267" s="28"/>
      <c r="HK267" s="28"/>
      <c r="HL267" s="28"/>
      <c r="HM267" s="28"/>
      <c r="HN267" s="28"/>
      <c r="HO267" s="28"/>
      <c r="HP267" s="28"/>
      <c r="HQ267" s="28"/>
      <c r="HR267" s="28"/>
      <c r="HS267" s="28"/>
      <c r="HT267" s="28"/>
      <c r="HU267" s="28"/>
      <c r="HV267" s="28"/>
      <c r="HW267" s="28"/>
      <c r="HX267" s="28"/>
      <c r="HY267" s="28"/>
      <c r="HZ267" s="28"/>
      <c r="IA267" s="28"/>
      <c r="IB267" s="28"/>
      <c r="IC267" s="28"/>
      <c r="ID267" s="28"/>
      <c r="IE267" s="28"/>
      <c r="IF267" s="28"/>
      <c r="IG267" s="28"/>
      <c r="IH267" s="28"/>
      <c r="II267" s="28"/>
      <c r="IJ267" s="28"/>
      <c r="IK267" s="28"/>
      <c r="IL267" s="28"/>
      <c r="IM267" s="28"/>
      <c r="IN267" s="28"/>
      <c r="IO267" s="28"/>
      <c r="IP267" s="28"/>
      <c r="IQ267" s="28"/>
      <c r="IR267" s="28"/>
      <c r="IS267" s="28"/>
      <c r="IT267" s="28"/>
      <c r="IU267" s="28"/>
      <c r="IV267" s="28"/>
      <c r="IW267" s="28"/>
    </row>
    <row r="268" spans="1:257" s="1" customFormat="1" hidden="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50"/>
      <c r="AC268" s="50"/>
      <c r="AD268" s="50"/>
      <c r="AE268" s="268" t="s">
        <v>556</v>
      </c>
      <c r="AF268" s="281" t="s">
        <v>432</v>
      </c>
      <c r="AG268" s="268">
        <v>15</v>
      </c>
      <c r="AH268" s="225" t="e">
        <f>NA()</f>
        <v>#N/A</v>
      </c>
      <c r="AI268" s="299">
        <v>15.2</v>
      </c>
      <c r="AJ268" s="299">
        <v>16.14</v>
      </c>
      <c r="AK268" s="301">
        <v>45.932261736178134</v>
      </c>
      <c r="AL268" s="302">
        <f t="shared" si="66"/>
        <v>34.449196302133601</v>
      </c>
      <c r="AM268" s="52"/>
      <c r="AN268" s="51"/>
      <c r="AO268" s="51"/>
      <c r="AP268" s="59"/>
      <c r="AQ268" s="59"/>
      <c r="AR268" s="59"/>
      <c r="AS268" s="59"/>
      <c r="AT268" s="59"/>
      <c r="AU268" s="50"/>
      <c r="AV268" s="50"/>
      <c r="AW268" s="56"/>
      <c r="AX268" s="56"/>
      <c r="AY268" s="56"/>
      <c r="AZ268" s="56"/>
      <c r="BA268" s="56"/>
      <c r="BB268" s="56"/>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8"/>
      <c r="GR268" s="28"/>
      <c r="GS268" s="28"/>
      <c r="GT268" s="28"/>
      <c r="GU268" s="28"/>
      <c r="GV268" s="28"/>
      <c r="GW268" s="28"/>
      <c r="GX268" s="28"/>
      <c r="GY268" s="28"/>
      <c r="GZ268" s="28"/>
      <c r="HA268" s="28"/>
      <c r="HB268" s="28"/>
      <c r="HC268" s="28"/>
      <c r="HD268" s="28"/>
      <c r="HE268" s="28"/>
      <c r="HF268" s="28"/>
      <c r="HG268" s="28"/>
      <c r="HH268" s="28"/>
      <c r="HI268" s="28"/>
      <c r="HJ268" s="28"/>
      <c r="HK268" s="28"/>
      <c r="HL268" s="28"/>
      <c r="HM268" s="28"/>
      <c r="HN268" s="28"/>
      <c r="HO268" s="28"/>
      <c r="HP268" s="28"/>
      <c r="HQ268" s="28"/>
      <c r="HR268" s="28"/>
      <c r="HS268" s="28"/>
      <c r="HT268" s="28"/>
      <c r="HU268" s="28"/>
      <c r="HV268" s="28"/>
      <c r="HW268" s="28"/>
      <c r="HX268" s="28"/>
      <c r="HY268" s="28"/>
      <c r="HZ268" s="28"/>
      <c r="IA268" s="28"/>
      <c r="IB268" s="28"/>
      <c r="IC268" s="28"/>
      <c r="ID268" s="28"/>
      <c r="IE268" s="28"/>
      <c r="IF268" s="28"/>
      <c r="IG268" s="28"/>
      <c r="IH268" s="28"/>
      <c r="II268" s="28"/>
      <c r="IJ268" s="28"/>
      <c r="IK268" s="28"/>
      <c r="IL268" s="28"/>
      <c r="IM268" s="28"/>
      <c r="IN268" s="28"/>
      <c r="IO268" s="28"/>
      <c r="IP268" s="28"/>
      <c r="IQ268" s="28"/>
      <c r="IR268" s="28"/>
      <c r="IS268" s="28"/>
      <c r="IT268" s="28"/>
      <c r="IU268" s="28"/>
      <c r="IV268" s="28"/>
      <c r="IW268" s="28"/>
    </row>
    <row r="269" spans="1:257" s="1" customFormat="1" hidden="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50"/>
      <c r="AC269" s="50"/>
      <c r="AD269" s="50"/>
      <c r="AE269" s="268" t="s">
        <v>557</v>
      </c>
      <c r="AF269" s="281" t="s">
        <v>432</v>
      </c>
      <c r="AG269" s="268">
        <v>15</v>
      </c>
      <c r="AH269" s="225" t="e">
        <f>NA()</f>
        <v>#N/A</v>
      </c>
      <c r="AI269" s="299">
        <v>15.2</v>
      </c>
      <c r="AJ269" s="299">
        <v>16.14</v>
      </c>
      <c r="AK269" s="301">
        <v>45.932261736178134</v>
      </c>
      <c r="AL269" s="302">
        <f t="shared" si="66"/>
        <v>34.449196302133601</v>
      </c>
      <c r="AM269" s="52"/>
      <c r="AN269" s="51"/>
      <c r="AO269" s="51"/>
      <c r="AP269" s="59"/>
      <c r="AQ269" s="59"/>
      <c r="AR269" s="59"/>
      <c r="AS269" s="59"/>
      <c r="AT269" s="59"/>
      <c r="AU269" s="50"/>
      <c r="AV269" s="50"/>
      <c r="AW269" s="56"/>
      <c r="AX269" s="56"/>
      <c r="AY269" s="56"/>
      <c r="AZ269" s="56"/>
      <c r="BA269" s="56"/>
      <c r="BB269" s="56"/>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c r="IO269" s="28"/>
      <c r="IP269" s="28"/>
      <c r="IQ269" s="28"/>
      <c r="IR269" s="28"/>
      <c r="IS269" s="28"/>
      <c r="IT269" s="28"/>
      <c r="IU269" s="28"/>
      <c r="IV269" s="28"/>
      <c r="IW269" s="28"/>
    </row>
    <row r="270" spans="1:257" s="1" customFormat="1" hidden="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50"/>
      <c r="AC270" s="50"/>
      <c r="AD270" s="50"/>
      <c r="AE270" s="268" t="s">
        <v>558</v>
      </c>
      <c r="AF270" s="281" t="s">
        <v>432</v>
      </c>
      <c r="AG270" s="268">
        <v>15</v>
      </c>
      <c r="AH270" s="225" t="e">
        <f>NA()</f>
        <v>#N/A</v>
      </c>
      <c r="AI270" s="299">
        <v>15.2</v>
      </c>
      <c r="AJ270" s="299">
        <v>16.14</v>
      </c>
      <c r="AK270" s="301">
        <v>45.932261736178134</v>
      </c>
      <c r="AL270" s="302">
        <f t="shared" si="66"/>
        <v>34.449196302133601</v>
      </c>
      <c r="AM270" s="52"/>
      <c r="AN270" s="51"/>
      <c r="AO270" s="51"/>
      <c r="AP270" s="59"/>
      <c r="AQ270" s="59"/>
      <c r="AR270" s="59"/>
      <c r="AS270" s="59"/>
      <c r="AT270" s="59"/>
      <c r="AU270" s="50"/>
      <c r="AV270" s="50"/>
      <c r="AW270" s="56"/>
      <c r="AX270" s="56"/>
      <c r="AY270" s="56"/>
      <c r="AZ270" s="56"/>
      <c r="BA270" s="56"/>
      <c r="BB270" s="56"/>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c r="IO270" s="28"/>
      <c r="IP270" s="28"/>
      <c r="IQ270" s="28"/>
      <c r="IR270" s="28"/>
      <c r="IS270" s="28"/>
      <c r="IT270" s="28"/>
      <c r="IU270" s="28"/>
      <c r="IV270" s="28"/>
      <c r="IW270" s="28"/>
    </row>
    <row r="271" spans="1:257" s="1" customFormat="1" hidden="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50"/>
      <c r="AC271" s="50"/>
      <c r="AD271" s="50"/>
      <c r="AE271" s="268" t="s">
        <v>559</v>
      </c>
      <c r="AF271" s="281" t="s">
        <v>432</v>
      </c>
      <c r="AG271" s="268">
        <v>15</v>
      </c>
      <c r="AH271" s="225" t="e">
        <f>NA()</f>
        <v>#N/A</v>
      </c>
      <c r="AI271" s="299">
        <v>15.2</v>
      </c>
      <c r="AJ271" s="299">
        <v>16.14</v>
      </c>
      <c r="AK271" s="301">
        <v>45.932261736178134</v>
      </c>
      <c r="AL271" s="302">
        <f t="shared" si="66"/>
        <v>34.449196302133601</v>
      </c>
      <c r="AM271" s="52"/>
      <c r="AN271" s="51"/>
      <c r="AO271" s="51"/>
      <c r="AP271" s="59"/>
      <c r="AQ271" s="59"/>
      <c r="AR271" s="59"/>
      <c r="AS271" s="59"/>
      <c r="AT271" s="59"/>
      <c r="AU271" s="50"/>
      <c r="AV271" s="50"/>
      <c r="AW271" s="56"/>
      <c r="AX271" s="56"/>
      <c r="AY271" s="56"/>
      <c r="AZ271" s="56"/>
      <c r="BA271" s="56"/>
      <c r="BB271" s="56"/>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c r="GE271" s="28"/>
      <c r="GF271" s="28"/>
      <c r="GG271" s="28"/>
      <c r="GH271" s="28"/>
      <c r="GI271" s="28"/>
      <c r="GJ271" s="28"/>
      <c r="GK271" s="28"/>
      <c r="GL271" s="28"/>
      <c r="GM271" s="28"/>
      <c r="GN271" s="28"/>
      <c r="GO271" s="28"/>
      <c r="GP271" s="28"/>
      <c r="GQ271" s="28"/>
      <c r="GR271" s="28"/>
      <c r="GS271" s="28"/>
      <c r="GT271" s="28"/>
      <c r="GU271" s="28"/>
      <c r="GV271" s="28"/>
      <c r="GW271" s="28"/>
      <c r="GX271" s="28"/>
      <c r="GY271" s="28"/>
      <c r="GZ271" s="28"/>
      <c r="HA271" s="28"/>
      <c r="HB271" s="28"/>
      <c r="HC271" s="28"/>
      <c r="HD271" s="28"/>
      <c r="HE271" s="28"/>
      <c r="HF271" s="28"/>
      <c r="HG271" s="28"/>
      <c r="HH271" s="28"/>
      <c r="HI271" s="28"/>
      <c r="HJ271" s="28"/>
      <c r="HK271" s="28"/>
      <c r="HL271" s="28"/>
      <c r="HM271" s="28"/>
      <c r="HN271" s="28"/>
      <c r="HO271" s="28"/>
      <c r="HP271" s="28"/>
      <c r="HQ271" s="28"/>
      <c r="HR271" s="28"/>
      <c r="HS271" s="28"/>
      <c r="HT271" s="28"/>
      <c r="HU271" s="28"/>
      <c r="HV271" s="28"/>
      <c r="HW271" s="28"/>
      <c r="HX271" s="28"/>
      <c r="HY271" s="28"/>
      <c r="HZ271" s="28"/>
      <c r="IA271" s="28"/>
      <c r="IB271" s="28"/>
      <c r="IC271" s="28"/>
      <c r="ID271" s="28"/>
      <c r="IE271" s="28"/>
      <c r="IF271" s="28"/>
      <c r="IG271" s="28"/>
      <c r="IH271" s="28"/>
      <c r="II271" s="28"/>
      <c r="IJ271" s="28"/>
      <c r="IK271" s="28"/>
      <c r="IL271" s="28"/>
      <c r="IM271" s="28"/>
      <c r="IN271" s="28"/>
      <c r="IO271" s="28"/>
      <c r="IP271" s="28"/>
      <c r="IQ271" s="28"/>
      <c r="IR271" s="28"/>
      <c r="IS271" s="28"/>
      <c r="IT271" s="28"/>
      <c r="IU271" s="28"/>
      <c r="IV271" s="28"/>
      <c r="IW271" s="28"/>
    </row>
    <row r="272" spans="1:257" hidden="1">
      <c r="AE272" s="268" t="s">
        <v>560</v>
      </c>
      <c r="AF272" s="281" t="s">
        <v>453</v>
      </c>
      <c r="AG272" s="268">
        <v>30</v>
      </c>
      <c r="AH272" s="225" t="e">
        <f>NA()</f>
        <v>#N/A</v>
      </c>
      <c r="AI272" s="299">
        <v>16.149999999999999</v>
      </c>
      <c r="AJ272" s="299">
        <v>17.09</v>
      </c>
      <c r="AK272" s="301">
        <v>94.416315791032957</v>
      </c>
      <c r="AL272" s="302">
        <f t="shared" si="66"/>
        <v>70.812236843274718</v>
      </c>
      <c r="AM272" s="52"/>
      <c r="AT272" s="28"/>
      <c r="AU272" s="28"/>
      <c r="AV272" s="28"/>
      <c r="AW272" s="28"/>
      <c r="AX272" s="28"/>
      <c r="AY272" s="28"/>
      <c r="AZ272" s="28"/>
      <c r="BA272" s="28"/>
      <c r="BB272" s="28"/>
    </row>
    <row r="273" spans="31:54" hidden="1">
      <c r="AE273" s="268" t="s">
        <v>561</v>
      </c>
      <c r="AF273" s="281" t="s">
        <v>453</v>
      </c>
      <c r="AG273" s="268">
        <v>30</v>
      </c>
      <c r="AH273" s="225" t="e">
        <f>NA()</f>
        <v>#N/A</v>
      </c>
      <c r="AI273" s="299">
        <v>16.149999999999999</v>
      </c>
      <c r="AJ273" s="299">
        <v>17.09</v>
      </c>
      <c r="AK273" s="301">
        <v>94.416315791032957</v>
      </c>
      <c r="AL273" s="302">
        <f t="shared" si="66"/>
        <v>70.812236843274718</v>
      </c>
      <c r="AM273" s="52"/>
      <c r="AT273" s="28"/>
      <c r="AU273" s="28"/>
      <c r="AV273" s="28"/>
      <c r="AW273" s="28"/>
      <c r="AX273" s="28"/>
      <c r="AY273" s="28"/>
      <c r="AZ273" s="28"/>
      <c r="BA273" s="28"/>
      <c r="BB273" s="28"/>
    </row>
    <row r="274" spans="31:54" hidden="1">
      <c r="AE274" s="268" t="s">
        <v>562</v>
      </c>
      <c r="AF274" s="281" t="s">
        <v>453</v>
      </c>
      <c r="AG274" s="268">
        <v>30</v>
      </c>
      <c r="AH274" s="225" t="e">
        <f>NA()</f>
        <v>#N/A</v>
      </c>
      <c r="AI274" s="299">
        <v>16.149999999999999</v>
      </c>
      <c r="AJ274" s="299">
        <v>17.09</v>
      </c>
      <c r="AK274" s="301">
        <v>94.416315791032957</v>
      </c>
      <c r="AL274" s="302">
        <f t="shared" si="66"/>
        <v>70.812236843274718</v>
      </c>
      <c r="AM274" s="52"/>
      <c r="AT274" s="28"/>
      <c r="AU274" s="28"/>
      <c r="AV274" s="28"/>
      <c r="AW274" s="28"/>
      <c r="AX274" s="28"/>
      <c r="AY274" s="28"/>
      <c r="AZ274" s="28"/>
      <c r="BA274" s="28"/>
      <c r="BB274" s="28"/>
    </row>
    <row r="275" spans="31:54" hidden="1">
      <c r="AE275" s="268" t="s">
        <v>563</v>
      </c>
      <c r="AF275" s="281" t="s">
        <v>453</v>
      </c>
      <c r="AG275" s="268">
        <v>30</v>
      </c>
      <c r="AH275" s="225" t="e">
        <f>NA()</f>
        <v>#N/A</v>
      </c>
      <c r="AI275" s="299">
        <v>16.149999999999999</v>
      </c>
      <c r="AJ275" s="299">
        <v>17.09</v>
      </c>
      <c r="AK275" s="301">
        <v>94.416315791032957</v>
      </c>
      <c r="AL275" s="302">
        <f t="shared" si="66"/>
        <v>70.812236843274718</v>
      </c>
      <c r="AM275" s="52"/>
      <c r="AT275" s="28"/>
      <c r="AU275" s="28"/>
      <c r="AV275" s="28"/>
      <c r="AW275" s="28"/>
      <c r="AX275" s="28"/>
      <c r="AY275" s="28"/>
      <c r="AZ275" s="28"/>
      <c r="BA275" s="28"/>
      <c r="BB275" s="28"/>
    </row>
    <row r="276" spans="31:54" hidden="1">
      <c r="AE276" s="268" t="s">
        <v>564</v>
      </c>
      <c r="AF276" s="281" t="s">
        <v>453</v>
      </c>
      <c r="AG276" s="268">
        <v>30</v>
      </c>
      <c r="AH276" s="225" t="e">
        <f>NA()</f>
        <v>#N/A</v>
      </c>
      <c r="AI276" s="299">
        <v>16.149999999999999</v>
      </c>
      <c r="AJ276" s="299">
        <v>17.09</v>
      </c>
      <c r="AK276" s="301">
        <v>94.416315791032957</v>
      </c>
      <c r="AL276" s="302">
        <f t="shared" si="66"/>
        <v>70.812236843274718</v>
      </c>
      <c r="AM276" s="52"/>
      <c r="AN276" s="101"/>
      <c r="AO276" s="101"/>
      <c r="AP276" s="101"/>
      <c r="AT276" s="28"/>
      <c r="AU276" s="28"/>
      <c r="AV276" s="28"/>
      <c r="AW276" s="28"/>
      <c r="AX276" s="28"/>
      <c r="AY276" s="28"/>
      <c r="AZ276" s="28"/>
      <c r="BA276" s="28"/>
      <c r="BB276" s="28"/>
    </row>
    <row r="277" spans="31:54" hidden="1">
      <c r="AE277" s="268" t="s">
        <v>565</v>
      </c>
      <c r="AF277" s="281" t="s">
        <v>453</v>
      </c>
      <c r="AG277" s="268">
        <v>30</v>
      </c>
      <c r="AH277" s="225" t="e">
        <f>NA()</f>
        <v>#N/A</v>
      </c>
      <c r="AI277" s="299">
        <v>16.149999999999999</v>
      </c>
      <c r="AJ277" s="299">
        <v>17.09</v>
      </c>
      <c r="AK277" s="301">
        <v>94.416315791032957</v>
      </c>
      <c r="AL277" s="302">
        <f t="shared" si="66"/>
        <v>70.812236843274718</v>
      </c>
      <c r="AM277" s="52"/>
      <c r="AT277" s="28"/>
      <c r="AU277" s="28"/>
      <c r="AV277" s="28"/>
      <c r="AW277" s="28"/>
      <c r="AX277" s="28"/>
      <c r="AY277" s="28"/>
      <c r="AZ277" s="28"/>
      <c r="BA277" s="28"/>
      <c r="BB277" s="28"/>
    </row>
    <row r="278" spans="31:54" hidden="1">
      <c r="AE278" s="268" t="s">
        <v>566</v>
      </c>
      <c r="AF278" s="281" t="s">
        <v>471</v>
      </c>
      <c r="AG278" s="268">
        <v>40</v>
      </c>
      <c r="AH278" s="225" t="e">
        <f>NA()</f>
        <v>#N/A</v>
      </c>
      <c r="AI278" s="299">
        <v>17.100000000000001</v>
      </c>
      <c r="AJ278" s="299">
        <v>30</v>
      </c>
      <c r="AK278" s="301">
        <v>142.90036984588778</v>
      </c>
      <c r="AL278" s="302">
        <f t="shared" si="66"/>
        <v>107.17527738441584</v>
      </c>
      <c r="AT278" s="28"/>
      <c r="AU278" s="28"/>
      <c r="AV278" s="28"/>
      <c r="AW278" s="28"/>
      <c r="AX278" s="28"/>
      <c r="AY278" s="28"/>
      <c r="AZ278" s="28"/>
      <c r="BA278" s="28"/>
      <c r="BB278" s="28"/>
    </row>
    <row r="279" spans="31:54" hidden="1">
      <c r="AE279" s="268" t="s">
        <v>567</v>
      </c>
      <c r="AF279" s="281" t="s">
        <v>471</v>
      </c>
      <c r="AG279" s="268">
        <v>40</v>
      </c>
      <c r="AH279" s="225" t="e">
        <f>NA()</f>
        <v>#N/A</v>
      </c>
      <c r="AI279" s="299">
        <v>17.100000000000001</v>
      </c>
      <c r="AJ279" s="299">
        <v>30</v>
      </c>
      <c r="AK279" s="301">
        <v>142.90036984588778</v>
      </c>
      <c r="AL279" s="302">
        <f t="shared" si="66"/>
        <v>107.17527738441584</v>
      </c>
      <c r="AT279" s="28"/>
      <c r="AU279" s="28"/>
      <c r="AV279" s="28"/>
      <c r="AW279" s="28"/>
      <c r="AX279" s="28"/>
      <c r="AY279" s="28"/>
      <c r="AZ279" s="28"/>
      <c r="BA279" s="28"/>
      <c r="BB279" s="28"/>
    </row>
    <row r="280" spans="31:54" hidden="1">
      <c r="AE280" s="268" t="s">
        <v>568</v>
      </c>
      <c r="AF280" s="281" t="s">
        <v>471</v>
      </c>
      <c r="AG280" s="268">
        <v>40</v>
      </c>
      <c r="AH280" s="225" t="e">
        <f>NA()</f>
        <v>#N/A</v>
      </c>
      <c r="AI280" s="299">
        <v>17.100000000000001</v>
      </c>
      <c r="AJ280" s="299">
        <v>30</v>
      </c>
      <c r="AK280" s="301">
        <v>142.90036984588778</v>
      </c>
      <c r="AL280" s="302">
        <f t="shared" si="66"/>
        <v>107.17527738441584</v>
      </c>
      <c r="AT280" s="28"/>
      <c r="AU280" s="28"/>
      <c r="AV280" s="28"/>
      <c r="AW280" s="28"/>
      <c r="AX280" s="28"/>
      <c r="AY280" s="28"/>
      <c r="AZ280" s="28"/>
      <c r="BA280" s="28"/>
      <c r="BB280" s="28"/>
    </row>
    <row r="281" spans="31:54" hidden="1">
      <c r="AE281" s="268" t="s">
        <v>569</v>
      </c>
      <c r="AF281" s="281" t="s">
        <v>471</v>
      </c>
      <c r="AG281" s="268">
        <v>40</v>
      </c>
      <c r="AH281" s="225" t="e">
        <f>NA()</f>
        <v>#N/A</v>
      </c>
      <c r="AI281" s="299">
        <v>17.100000000000001</v>
      </c>
      <c r="AJ281" s="303">
        <v>30</v>
      </c>
      <c r="AK281" s="301">
        <v>142.90036984588778</v>
      </c>
      <c r="AL281" s="302">
        <f t="shared" si="66"/>
        <v>107.17527738441584</v>
      </c>
      <c r="AT281" s="28"/>
      <c r="AU281" s="28"/>
      <c r="AV281" s="28"/>
      <c r="AW281" s="28"/>
      <c r="AX281" s="28"/>
      <c r="AY281" s="28"/>
      <c r="AZ281" s="28"/>
      <c r="BA281" s="28"/>
      <c r="BB281" s="28"/>
    </row>
    <row r="282" spans="31:54" hidden="1">
      <c r="AE282" s="268" t="s">
        <v>570</v>
      </c>
      <c r="AF282" s="281" t="s">
        <v>471</v>
      </c>
      <c r="AG282" s="268">
        <v>40</v>
      </c>
      <c r="AH282" s="225" t="e">
        <f>NA()</f>
        <v>#N/A</v>
      </c>
      <c r="AI282" s="299">
        <v>17.100000000000001</v>
      </c>
      <c r="AJ282" s="303">
        <v>30</v>
      </c>
      <c r="AK282" s="301">
        <v>142.90036984588778</v>
      </c>
      <c r="AL282" s="302">
        <f t="shared" si="66"/>
        <v>107.17527738441584</v>
      </c>
      <c r="AT282" s="28"/>
      <c r="AU282" s="28"/>
      <c r="AV282" s="28"/>
      <c r="AW282" s="28"/>
      <c r="AX282" s="28"/>
      <c r="AY282" s="28"/>
      <c r="AZ282" s="28"/>
      <c r="BA282" s="28"/>
      <c r="BB282" s="28"/>
    </row>
    <row r="283" spans="31:54" hidden="1">
      <c r="AE283" s="268" t="s">
        <v>571</v>
      </c>
      <c r="AF283" s="281" t="s">
        <v>471</v>
      </c>
      <c r="AG283" s="268">
        <v>40</v>
      </c>
      <c r="AH283" s="225" t="e">
        <f>NA()</f>
        <v>#N/A</v>
      </c>
      <c r="AI283" s="299">
        <v>17.100000000000001</v>
      </c>
      <c r="AJ283" s="303">
        <v>30</v>
      </c>
      <c r="AK283" s="301">
        <v>142.90036984588778</v>
      </c>
      <c r="AL283" s="302">
        <f t="shared" si="66"/>
        <v>107.17527738441584</v>
      </c>
      <c r="AT283" s="28"/>
      <c r="AU283" s="28"/>
      <c r="AV283" s="28"/>
      <c r="AW283" s="28"/>
      <c r="AX283" s="28"/>
      <c r="AY283" s="28"/>
      <c r="AZ283" s="28"/>
      <c r="BA283" s="28"/>
      <c r="BB283" s="28"/>
    </row>
    <row r="284" spans="31:54" hidden="1">
      <c r="AE284" s="307" t="str">
        <f>_xlfn.CONCAT(AZ$162,AZ163)</f>
        <v>Minisplit_AC_0.75_tons</v>
      </c>
      <c r="AF284" s="281" t="s">
        <v>53</v>
      </c>
      <c r="AG284" s="318">
        <v>16</v>
      </c>
      <c r="AH284" s="225" t="e">
        <f>NA()</f>
        <v>#N/A</v>
      </c>
      <c r="AI284" s="354">
        <v>0</v>
      </c>
      <c r="AJ284" s="354">
        <v>100</v>
      </c>
      <c r="AT284" s="28"/>
      <c r="AU284" s="28"/>
      <c r="AV284" s="28"/>
      <c r="AW284" s="28"/>
      <c r="AX284" s="28"/>
      <c r="AY284" s="28"/>
      <c r="AZ284" s="28"/>
      <c r="BA284" s="28"/>
      <c r="BB284" s="28"/>
    </row>
    <row r="285" spans="31:54" hidden="1">
      <c r="AE285" s="307" t="str">
        <f t="shared" ref="AE285:AE292" si="67">_xlfn.CONCAT(AZ$162,AZ164)</f>
        <v>Minisplit_AC_1.00_tons</v>
      </c>
      <c r="AF285" s="281" t="s">
        <v>53</v>
      </c>
      <c r="AG285" s="318">
        <v>16</v>
      </c>
      <c r="AH285" s="225" t="e">
        <f>NA()</f>
        <v>#N/A</v>
      </c>
      <c r="AI285" s="354">
        <v>0</v>
      </c>
      <c r="AJ285" s="354">
        <v>100</v>
      </c>
      <c r="AM285" s="52"/>
      <c r="AT285" s="28"/>
      <c r="AU285" s="28"/>
      <c r="AV285" s="28"/>
      <c r="AW285" s="28"/>
      <c r="AX285" s="28"/>
      <c r="AY285" s="28"/>
      <c r="AZ285" s="28"/>
      <c r="BA285" s="28"/>
      <c r="BB285" s="28"/>
    </row>
    <row r="286" spans="31:54" hidden="1">
      <c r="AE286" s="307" t="str">
        <f t="shared" si="67"/>
        <v>Minisplit_AC_1.25_tons</v>
      </c>
      <c r="AF286" s="281" t="s">
        <v>53</v>
      </c>
      <c r="AG286" s="318">
        <v>16</v>
      </c>
      <c r="AH286" s="225" t="e">
        <f>NA()</f>
        <v>#N/A</v>
      </c>
      <c r="AI286" s="354">
        <v>0</v>
      </c>
      <c r="AJ286" s="354">
        <v>100</v>
      </c>
      <c r="AM286" s="52"/>
      <c r="AT286" s="28"/>
      <c r="AU286" s="28"/>
      <c r="AV286" s="28"/>
      <c r="AW286" s="28"/>
      <c r="AX286" s="28"/>
      <c r="AY286" s="28"/>
      <c r="AZ286" s="28"/>
      <c r="BA286" s="28"/>
      <c r="BB286" s="28"/>
    </row>
    <row r="287" spans="31:54" hidden="1">
      <c r="AE287" s="307" t="str">
        <f t="shared" si="67"/>
        <v>Minisplit_AC_2.0_tons</v>
      </c>
      <c r="AF287" s="281" t="s">
        <v>53</v>
      </c>
      <c r="AG287" s="318">
        <v>16</v>
      </c>
      <c r="AH287" s="225" t="e">
        <f>NA()</f>
        <v>#N/A</v>
      </c>
      <c r="AI287" s="354">
        <v>0</v>
      </c>
      <c r="AJ287" s="354">
        <v>100</v>
      </c>
      <c r="AM287" s="52"/>
      <c r="AT287" s="28"/>
      <c r="AU287" s="28"/>
      <c r="AV287" s="28"/>
      <c r="AW287" s="28"/>
      <c r="AX287" s="28"/>
      <c r="AY287" s="28"/>
      <c r="AZ287" s="28"/>
      <c r="BA287" s="28"/>
      <c r="BB287" s="28"/>
    </row>
    <row r="288" spans="31:54" hidden="1">
      <c r="AE288" s="307" t="str">
        <f t="shared" si="67"/>
        <v>Minisplit_AC_2.5_tons</v>
      </c>
      <c r="AF288" s="281" t="s">
        <v>53</v>
      </c>
      <c r="AG288" s="318">
        <v>16</v>
      </c>
      <c r="AH288" s="225" t="e">
        <f>NA()</f>
        <v>#N/A</v>
      </c>
      <c r="AI288" s="354">
        <v>0</v>
      </c>
      <c r="AJ288" s="354">
        <v>100</v>
      </c>
      <c r="AM288" s="52"/>
      <c r="AT288" s="28"/>
      <c r="AU288" s="28"/>
      <c r="AV288" s="28"/>
      <c r="AW288" s="28"/>
      <c r="AX288" s="28"/>
      <c r="AY288" s="28"/>
      <c r="AZ288" s="28"/>
      <c r="BA288" s="28"/>
      <c r="BB288" s="28"/>
    </row>
    <row r="289" spans="30:54" hidden="1">
      <c r="AE289" s="307" t="str">
        <f t="shared" si="67"/>
        <v>Minisplit_AC_3.0_tons</v>
      </c>
      <c r="AF289" s="281" t="s">
        <v>53</v>
      </c>
      <c r="AG289" s="318">
        <v>16</v>
      </c>
      <c r="AH289" s="225" t="e">
        <f>NA()</f>
        <v>#N/A</v>
      </c>
      <c r="AI289" s="354">
        <v>0</v>
      </c>
      <c r="AJ289" s="354">
        <v>100</v>
      </c>
      <c r="AM289" s="52"/>
      <c r="AT289" s="28"/>
      <c r="AU289" s="28"/>
      <c r="AV289" s="28"/>
      <c r="AW289" s="28"/>
      <c r="AX289" s="28"/>
      <c r="AY289" s="28"/>
      <c r="AZ289" s="28"/>
      <c r="BA289" s="28"/>
      <c r="BB289" s="28"/>
    </row>
    <row r="290" spans="30:54" hidden="1">
      <c r="AE290" s="307" t="str">
        <f t="shared" si="67"/>
        <v>Minisplit_AC_3.5_tons</v>
      </c>
      <c r="AF290" s="281" t="s">
        <v>53</v>
      </c>
      <c r="AG290" s="318">
        <v>16</v>
      </c>
      <c r="AH290" s="225" t="e">
        <f>NA()</f>
        <v>#N/A</v>
      </c>
      <c r="AI290" s="354">
        <v>0</v>
      </c>
      <c r="AJ290" s="354">
        <v>100</v>
      </c>
      <c r="AN290" s="28"/>
      <c r="AO290" s="28"/>
      <c r="AP290" s="28"/>
      <c r="AQ290" s="28"/>
      <c r="AR290" s="28"/>
      <c r="AS290" s="28"/>
      <c r="AT290" s="28"/>
      <c r="AU290" s="28"/>
      <c r="AV290" s="28"/>
      <c r="AW290" s="28"/>
      <c r="AX290" s="28"/>
      <c r="AY290" s="28"/>
      <c r="AZ290" s="28"/>
      <c r="BA290" s="28"/>
      <c r="BB290" s="28"/>
    </row>
    <row r="291" spans="30:54" hidden="1">
      <c r="AE291" s="307" t="str">
        <f t="shared" si="67"/>
        <v>Minisplit_AC_4.0_tons</v>
      </c>
      <c r="AF291" s="281" t="s">
        <v>53</v>
      </c>
      <c r="AG291" s="318">
        <v>16</v>
      </c>
      <c r="AH291" s="225" t="e">
        <f>NA()</f>
        <v>#N/A</v>
      </c>
      <c r="AI291" s="354">
        <v>0</v>
      </c>
      <c r="AJ291" s="354">
        <v>100</v>
      </c>
      <c r="AN291" s="28"/>
      <c r="AO291" s="28"/>
      <c r="AP291" s="28"/>
      <c r="AQ291" s="28"/>
      <c r="AR291" s="28"/>
      <c r="AS291" s="28"/>
      <c r="AT291" s="28"/>
      <c r="AU291" s="28"/>
      <c r="AV291" s="28"/>
      <c r="AW291" s="28"/>
      <c r="AX291" s="28"/>
      <c r="AY291" s="28"/>
      <c r="AZ291" s="28"/>
      <c r="BA291" s="28"/>
      <c r="BB291" s="28"/>
    </row>
    <row r="292" spans="30:54" hidden="1">
      <c r="AE292" s="307" t="str">
        <f t="shared" si="67"/>
        <v>Minisplit_AC_5.0_tons</v>
      </c>
      <c r="AF292" s="281" t="s">
        <v>53</v>
      </c>
      <c r="AG292" s="318">
        <v>16</v>
      </c>
      <c r="AH292" s="225" t="e">
        <f>NA()</f>
        <v>#N/A</v>
      </c>
      <c r="AI292" s="354">
        <v>0</v>
      </c>
      <c r="AJ292" s="354">
        <v>100</v>
      </c>
      <c r="AN292" s="28"/>
      <c r="AO292" s="28"/>
      <c r="AP292" s="28"/>
      <c r="AQ292" s="28"/>
      <c r="AR292" s="28"/>
      <c r="AS292" s="28"/>
      <c r="AT292" s="28"/>
      <c r="AU292" s="28"/>
      <c r="AV292" s="28"/>
      <c r="AW292" s="28"/>
      <c r="AX292" s="28"/>
      <c r="AY292" s="28"/>
      <c r="AZ292" s="28"/>
      <c r="BA292" s="28"/>
      <c r="BB292" s="28"/>
    </row>
    <row r="293" spans="30:54" hidden="1">
      <c r="AE293" s="307" t="str">
        <f>_xlfn.CONCAT(BA$162,BA163)</f>
        <v>Minisplit_HP_0.75_tons</v>
      </c>
      <c r="AF293" s="281" t="s">
        <v>56</v>
      </c>
      <c r="AG293" s="318">
        <v>12</v>
      </c>
      <c r="AH293" s="225" t="e">
        <f>NA()</f>
        <v>#N/A</v>
      </c>
      <c r="AI293" s="354">
        <v>0</v>
      </c>
      <c r="AJ293" s="354">
        <v>100</v>
      </c>
      <c r="AN293" s="28"/>
      <c r="AO293" s="28"/>
      <c r="AP293" s="28"/>
      <c r="AQ293" s="28"/>
      <c r="AR293" s="28"/>
      <c r="AS293" s="28"/>
      <c r="AT293" s="28"/>
      <c r="AU293" s="28"/>
      <c r="AV293" s="28"/>
      <c r="AW293" s="28"/>
      <c r="AX293" s="28"/>
      <c r="AY293" s="28"/>
      <c r="AZ293" s="28"/>
      <c r="BA293" s="28"/>
      <c r="BB293" s="28"/>
    </row>
    <row r="294" spans="30:54" hidden="1">
      <c r="AE294" s="307" t="str">
        <f t="shared" ref="AE294:AE301" si="68">_xlfn.CONCAT(BA$162,BA164)</f>
        <v>Minisplit_HP_1.00_tons</v>
      </c>
      <c r="AF294" s="281" t="s">
        <v>56</v>
      </c>
      <c r="AG294" s="318">
        <v>12</v>
      </c>
      <c r="AH294" s="225" t="e">
        <f>NA()</f>
        <v>#N/A</v>
      </c>
      <c r="AI294" s="354">
        <v>0</v>
      </c>
      <c r="AJ294" s="354">
        <v>100</v>
      </c>
      <c r="AN294" s="28"/>
      <c r="AO294" s="28"/>
      <c r="AP294" s="28"/>
      <c r="AQ294" s="28"/>
      <c r="AR294" s="28"/>
      <c r="AS294" s="28"/>
      <c r="AT294" s="28"/>
      <c r="AU294" s="28"/>
      <c r="AV294" s="28"/>
      <c r="AW294" s="28"/>
      <c r="AX294" s="28"/>
      <c r="AY294" s="28"/>
      <c r="AZ294" s="28"/>
      <c r="BA294" s="28"/>
      <c r="BB294" s="28"/>
    </row>
    <row r="295" spans="30:54" hidden="1">
      <c r="AE295" s="307" t="str">
        <f t="shared" si="68"/>
        <v>Minisplit_HP_1.25_tons</v>
      </c>
      <c r="AF295" s="281" t="s">
        <v>56</v>
      </c>
      <c r="AG295" s="318">
        <v>12</v>
      </c>
      <c r="AH295" s="225" t="e">
        <f>NA()</f>
        <v>#N/A</v>
      </c>
      <c r="AI295" s="354">
        <v>0</v>
      </c>
      <c r="AJ295" s="354">
        <v>100</v>
      </c>
      <c r="AN295" s="28"/>
      <c r="AO295" s="28"/>
      <c r="AP295" s="28"/>
      <c r="AQ295" s="28"/>
      <c r="AR295" s="28"/>
      <c r="AS295" s="28"/>
      <c r="AT295" s="28"/>
      <c r="AU295" s="28"/>
      <c r="AV295" s="28"/>
      <c r="AW295" s="28"/>
      <c r="AX295" s="28"/>
      <c r="AY295" s="28"/>
      <c r="AZ295" s="28"/>
      <c r="BA295" s="28"/>
      <c r="BB295" s="28"/>
    </row>
    <row r="296" spans="30:54" hidden="1">
      <c r="AE296" s="307" t="str">
        <f t="shared" si="68"/>
        <v>Minisplit_HP_2.0_tons</v>
      </c>
      <c r="AF296" s="281" t="s">
        <v>56</v>
      </c>
      <c r="AG296" s="318">
        <v>12</v>
      </c>
      <c r="AH296" s="225" t="e">
        <f>NA()</f>
        <v>#N/A</v>
      </c>
      <c r="AI296" s="354">
        <v>0</v>
      </c>
      <c r="AJ296" s="354">
        <v>100</v>
      </c>
      <c r="AN296" s="28"/>
      <c r="AO296" s="28"/>
      <c r="AP296" s="28"/>
      <c r="AQ296" s="28"/>
      <c r="AR296" s="28"/>
      <c r="AS296" s="28"/>
      <c r="AT296" s="28"/>
      <c r="AU296" s="28"/>
      <c r="AV296" s="28"/>
      <c r="AW296" s="28"/>
      <c r="AX296" s="28"/>
      <c r="AY296" s="28"/>
      <c r="AZ296" s="28"/>
      <c r="BA296" s="28"/>
      <c r="BB296" s="28"/>
    </row>
    <row r="297" spans="30:54" hidden="1">
      <c r="AE297" s="307" t="str">
        <f t="shared" si="68"/>
        <v>Minisplit_HP_2.5_tons</v>
      </c>
      <c r="AF297" s="281" t="s">
        <v>56</v>
      </c>
      <c r="AG297" s="318">
        <v>12</v>
      </c>
      <c r="AH297" s="225" t="e">
        <f>NA()</f>
        <v>#N/A</v>
      </c>
      <c r="AI297" s="354">
        <v>0</v>
      </c>
      <c r="AJ297" s="354">
        <v>100</v>
      </c>
      <c r="AN297" s="28"/>
      <c r="AO297" s="28"/>
      <c r="AP297" s="28"/>
      <c r="AQ297" s="28"/>
      <c r="AR297" s="28"/>
      <c r="AS297" s="28"/>
      <c r="AT297" s="28"/>
      <c r="AU297" s="28"/>
      <c r="AV297" s="28"/>
      <c r="AW297" s="28"/>
      <c r="AX297" s="28"/>
      <c r="AY297" s="28"/>
      <c r="AZ297" s="28"/>
      <c r="BA297" s="28"/>
      <c r="BB297" s="28"/>
    </row>
    <row r="298" spans="30:54" hidden="1">
      <c r="AE298" s="307" t="str">
        <f t="shared" si="68"/>
        <v>Minisplit_HP_3.0_tons</v>
      </c>
      <c r="AF298" s="281" t="s">
        <v>56</v>
      </c>
      <c r="AG298" s="318">
        <v>12</v>
      </c>
      <c r="AH298" s="225" t="e">
        <f>NA()</f>
        <v>#N/A</v>
      </c>
      <c r="AI298" s="354">
        <v>0</v>
      </c>
      <c r="AJ298" s="354">
        <v>100</v>
      </c>
      <c r="AN298" s="28"/>
      <c r="AO298" s="28"/>
      <c r="AP298" s="28"/>
      <c r="AQ298" s="28"/>
      <c r="AR298" s="28"/>
      <c r="AS298" s="28"/>
      <c r="AT298" s="28"/>
      <c r="AU298" s="28"/>
      <c r="AV298" s="28"/>
      <c r="AW298" s="28"/>
      <c r="AX298" s="28"/>
      <c r="AY298" s="28"/>
      <c r="AZ298" s="28"/>
      <c r="BA298" s="28"/>
      <c r="BB298" s="28"/>
    </row>
    <row r="299" spans="30:54" hidden="1">
      <c r="AE299" s="307" t="str">
        <f t="shared" si="68"/>
        <v>Minisplit_HP_3.5_tons</v>
      </c>
      <c r="AF299" s="281" t="s">
        <v>56</v>
      </c>
      <c r="AG299" s="318">
        <v>12</v>
      </c>
      <c r="AH299" s="225" t="e">
        <f>NA()</f>
        <v>#N/A</v>
      </c>
      <c r="AI299" s="354">
        <v>0</v>
      </c>
      <c r="AJ299" s="354">
        <v>100</v>
      </c>
      <c r="AN299" s="28"/>
      <c r="AO299" s="28"/>
      <c r="AP299" s="28"/>
      <c r="AQ299" s="28"/>
      <c r="AR299" s="28"/>
      <c r="AS299" s="28"/>
      <c r="AT299" s="28"/>
      <c r="AU299" s="28"/>
      <c r="AV299" s="28"/>
      <c r="AW299" s="28"/>
      <c r="AX299" s="28"/>
      <c r="AY299" s="28"/>
      <c r="AZ299" s="28"/>
      <c r="BA299" s="28"/>
      <c r="BB299" s="28"/>
    </row>
    <row r="300" spans="30:54" hidden="1">
      <c r="AE300" s="307" t="str">
        <f t="shared" si="68"/>
        <v>Minisplit_HP_4.0_tons</v>
      </c>
      <c r="AF300" s="281" t="s">
        <v>56</v>
      </c>
      <c r="AG300" s="318">
        <v>12</v>
      </c>
      <c r="AH300" s="225" t="e">
        <f>NA()</f>
        <v>#N/A</v>
      </c>
      <c r="AI300" s="354">
        <v>0</v>
      </c>
      <c r="AJ300" s="354">
        <v>100</v>
      </c>
      <c r="AN300" s="28"/>
      <c r="AO300" s="28"/>
      <c r="AP300" s="28"/>
      <c r="AQ300" s="28"/>
      <c r="AR300" s="28"/>
      <c r="AS300" s="28"/>
      <c r="AT300" s="28"/>
      <c r="AU300" s="28"/>
      <c r="AV300" s="28"/>
      <c r="AW300" s="28"/>
      <c r="AX300" s="28"/>
      <c r="AY300" s="28"/>
      <c r="AZ300" s="28"/>
      <c r="BA300" s="28"/>
      <c r="BB300" s="28"/>
    </row>
    <row r="301" spans="30:54" hidden="1">
      <c r="AE301" s="307" t="str">
        <f t="shared" si="68"/>
        <v>Minisplit_HP_5.0_tons</v>
      </c>
      <c r="AF301" s="281" t="s">
        <v>56</v>
      </c>
      <c r="AG301" s="318">
        <v>12</v>
      </c>
      <c r="AH301" s="225" t="e">
        <f>NA()</f>
        <v>#N/A</v>
      </c>
      <c r="AI301" s="354">
        <v>0</v>
      </c>
      <c r="AJ301" s="354">
        <v>100</v>
      </c>
      <c r="AN301" s="28"/>
      <c r="AO301" s="28"/>
      <c r="AP301" s="28"/>
      <c r="AQ301" s="28"/>
      <c r="AR301" s="28"/>
      <c r="AS301" s="28"/>
    </row>
    <row r="302" spans="30:54" hidden="1">
      <c r="AD302" s="50" t="s">
        <v>572</v>
      </c>
      <c r="AE302" s="354" t="s">
        <v>303</v>
      </c>
      <c r="AF302" s="299" t="e">
        <f>NA()</f>
        <v>#N/A</v>
      </c>
      <c r="AG302" s="354">
        <v>0.2</v>
      </c>
      <c r="AH302" s="225" t="e">
        <f>NA()</f>
        <v>#N/A</v>
      </c>
      <c r="AN302" s="28"/>
      <c r="AO302" s="28"/>
      <c r="AP302" s="28"/>
      <c r="AQ302" s="28"/>
      <c r="AR302" s="28"/>
      <c r="AS302" s="28"/>
    </row>
    <row r="303" spans="30:54" hidden="1">
      <c r="AD303" s="50" t="s">
        <v>372</v>
      </c>
      <c r="AE303" s="351" t="s">
        <v>305</v>
      </c>
      <c r="AF303" s="352" t="e">
        <f>NA()</f>
        <v>#N/A</v>
      </c>
      <c r="AG303" s="353">
        <v>235</v>
      </c>
      <c r="AN303" s="28"/>
      <c r="AO303" s="28"/>
      <c r="AP303" s="28"/>
      <c r="AQ303" s="28"/>
      <c r="AR303" s="28"/>
      <c r="AS303" s="28"/>
    </row>
    <row r="304" spans="30:54" hidden="1">
      <c r="AN304" s="28"/>
      <c r="AO304" s="28"/>
      <c r="AP304" s="28"/>
      <c r="AQ304" s="28"/>
      <c r="AR304" s="28"/>
      <c r="AS304" s="28"/>
    </row>
    <row r="305" spans="31:45" hidden="1">
      <c r="AN305" s="28"/>
      <c r="AO305" s="28"/>
      <c r="AP305" s="28"/>
      <c r="AQ305" s="28"/>
      <c r="AR305" s="28"/>
      <c r="AS305" s="28"/>
    </row>
    <row r="306" spans="31:45" hidden="1">
      <c r="AN306" s="28"/>
      <c r="AO306" s="28"/>
      <c r="AP306" s="28"/>
      <c r="AQ306" s="28"/>
      <c r="AR306" s="28"/>
      <c r="AS306" s="28"/>
    </row>
    <row r="307" spans="31:45" hidden="1">
      <c r="AN307" s="28"/>
      <c r="AO307" s="28"/>
      <c r="AP307" s="28"/>
      <c r="AQ307" s="28"/>
      <c r="AR307" s="28"/>
      <c r="AS307" s="28"/>
    </row>
    <row r="308" spans="31:45" hidden="1">
      <c r="AE308" s="297"/>
      <c r="AF308" s="266"/>
      <c r="AG308" s="265"/>
      <c r="AH308" s="267"/>
      <c r="AI308" s="298"/>
      <c r="AJ308" s="298"/>
      <c r="AK308" s="28"/>
      <c r="AL308" s="24"/>
      <c r="AM308" s="52"/>
      <c r="AN308" s="28"/>
      <c r="AO308" s="28"/>
      <c r="AP308" s="28"/>
      <c r="AQ308" s="28"/>
      <c r="AR308" s="28"/>
      <c r="AS308" s="28"/>
    </row>
    <row r="309" spans="31:45" hidden="1">
      <c r="AE309" s="297"/>
      <c r="AF309" s="266"/>
      <c r="AG309" s="265"/>
      <c r="AH309" s="267"/>
      <c r="AI309" s="298"/>
      <c r="AJ309" s="298"/>
      <c r="AK309" s="28"/>
      <c r="AM309" s="52"/>
      <c r="AN309" s="28"/>
      <c r="AO309" s="28"/>
      <c r="AP309" s="28"/>
      <c r="AQ309" s="28"/>
      <c r="AR309" s="28"/>
      <c r="AS309" s="28"/>
    </row>
    <row r="310" spans="31:45" hidden="1">
      <c r="AE310" s="297"/>
      <c r="AF310" s="266"/>
      <c r="AG310" s="265"/>
      <c r="AH310" s="267"/>
      <c r="AI310" s="298"/>
      <c r="AJ310" s="298"/>
      <c r="AK310" s="28"/>
      <c r="AL310" s="24"/>
      <c r="AM310" s="52"/>
      <c r="AN310" s="28"/>
      <c r="AO310" s="28"/>
      <c r="AP310" s="28"/>
      <c r="AQ310" s="28"/>
      <c r="AR310" s="28"/>
      <c r="AS310" s="28"/>
    </row>
    <row r="311" spans="31:45" hidden="1">
      <c r="AE311" s="297"/>
      <c r="AF311" s="266"/>
      <c r="AG311" s="265"/>
      <c r="AH311" s="267"/>
      <c r="AI311" s="298"/>
      <c r="AJ311" s="298"/>
      <c r="AK311" s="28"/>
      <c r="AM311" s="52"/>
      <c r="AN311" s="28"/>
      <c r="AO311" s="28"/>
      <c r="AP311" s="28"/>
      <c r="AQ311" s="28"/>
      <c r="AR311" s="28"/>
      <c r="AS311" s="28"/>
    </row>
    <row r="312" spans="31:45" hidden="1">
      <c r="AE312" s="297"/>
      <c r="AF312" s="266"/>
      <c r="AG312" s="265"/>
      <c r="AH312" s="267"/>
      <c r="AI312" s="298"/>
      <c r="AJ312" s="298"/>
      <c r="AK312" s="28"/>
      <c r="AL312" s="24"/>
      <c r="AM312" s="52"/>
      <c r="AN312" s="28"/>
      <c r="AO312" s="28"/>
      <c r="AP312" s="28"/>
      <c r="AQ312" s="28"/>
      <c r="AR312" s="28"/>
      <c r="AS312" s="28"/>
    </row>
    <row r="313" spans="31:45" hidden="1">
      <c r="AE313" s="297"/>
      <c r="AF313" s="266"/>
      <c r="AG313" s="265"/>
      <c r="AH313" s="267"/>
      <c r="AI313" s="298"/>
      <c r="AJ313" s="298"/>
      <c r="AK313" s="28"/>
      <c r="AM313" s="52"/>
      <c r="AN313" s="28"/>
      <c r="AO313" s="28"/>
      <c r="AP313" s="28"/>
      <c r="AQ313" s="28"/>
      <c r="AR313" s="28"/>
      <c r="AS313" s="28"/>
    </row>
    <row r="314" spans="31:45" hidden="1">
      <c r="AN314" s="28"/>
      <c r="AO314" s="28"/>
      <c r="AP314" s="28"/>
      <c r="AQ314" s="28"/>
      <c r="AR314" s="28"/>
      <c r="AS314" s="28"/>
    </row>
    <row r="315" spans="31:45" hidden="1">
      <c r="AN315" s="28"/>
      <c r="AO315" s="28"/>
      <c r="AP315" s="28"/>
      <c r="AQ315" s="28"/>
      <c r="AR315" s="28"/>
      <c r="AS315" s="28"/>
    </row>
    <row r="316" spans="31:45" hidden="1">
      <c r="AN316" s="28"/>
      <c r="AO316" s="28"/>
      <c r="AP316" s="28"/>
      <c r="AQ316" s="28"/>
      <c r="AR316" s="28"/>
      <c r="AS316" s="28"/>
    </row>
    <row r="317" spans="31:45" hidden="1">
      <c r="AN317" s="28"/>
      <c r="AO317" s="28"/>
      <c r="AP317" s="28"/>
      <c r="AQ317" s="28"/>
      <c r="AR317" s="28"/>
      <c r="AS317" s="28"/>
    </row>
    <row r="318" spans="31:45" hidden="1">
      <c r="AN318" s="28"/>
      <c r="AO318" s="28"/>
      <c r="AP318" s="28"/>
      <c r="AQ318" s="28"/>
      <c r="AR318" s="28"/>
      <c r="AS318" s="28"/>
    </row>
    <row r="331" spans="30:39" hidden="1">
      <c r="AD331" s="315"/>
      <c r="AE331" s="316"/>
      <c r="AF331" s="316"/>
      <c r="AG331" s="316"/>
      <c r="AH331" s="316"/>
      <c r="AI331" s="316"/>
      <c r="AJ331" s="316"/>
      <c r="AK331" s="317"/>
      <c r="AL331" s="317"/>
      <c r="AM331" s="316"/>
    </row>
    <row r="332" spans="30:39" hidden="1">
      <c r="AE332" s="265" t="s">
        <v>573</v>
      </c>
      <c r="AF332" s="305"/>
      <c r="AG332" s="305"/>
      <c r="AH332" s="305"/>
      <c r="AI332" s="305"/>
      <c r="AJ332" s="305"/>
    </row>
    <row r="333" spans="30:39" hidden="1">
      <c r="AE333" s="265" t="s">
        <v>574</v>
      </c>
      <c r="AF333" s="305"/>
      <c r="AG333" s="305"/>
      <c r="AH333" s="305"/>
      <c r="AI333" s="305"/>
      <c r="AJ333" s="305"/>
    </row>
    <row r="334" spans="30:39" hidden="1">
      <c r="AE334" s="265" t="s">
        <v>575</v>
      </c>
      <c r="AF334" s="305"/>
      <c r="AG334" s="305"/>
      <c r="AH334" s="305"/>
      <c r="AI334" s="305"/>
      <c r="AJ334" s="305"/>
    </row>
    <row r="335" spans="30:39" hidden="1">
      <c r="AE335" s="265" t="s">
        <v>576</v>
      </c>
      <c r="AF335" s="305"/>
      <c r="AG335" s="305"/>
      <c r="AH335" s="305"/>
      <c r="AI335" s="305"/>
      <c r="AJ335" s="305"/>
    </row>
    <row r="336" spans="30:39" hidden="1">
      <c r="AE336" s="265" t="s">
        <v>577</v>
      </c>
      <c r="AF336" s="305"/>
      <c r="AG336" s="305"/>
      <c r="AH336" s="305"/>
      <c r="AI336" s="305"/>
      <c r="AJ336" s="305"/>
    </row>
    <row r="337" spans="31:36" hidden="1">
      <c r="AE337" s="265" t="s">
        <v>578</v>
      </c>
      <c r="AF337" s="305"/>
      <c r="AG337" s="305"/>
      <c r="AH337" s="305"/>
      <c r="AI337" s="305"/>
      <c r="AJ337" s="305"/>
    </row>
    <row r="338" spans="31:36" hidden="1">
      <c r="AE338" s="304" t="s">
        <v>579</v>
      </c>
      <c r="AF338" s="305"/>
      <c r="AG338" s="305"/>
      <c r="AH338" s="305"/>
      <c r="AI338" s="305"/>
      <c r="AJ338" s="305"/>
    </row>
    <row r="339" spans="31:36" hidden="1">
      <c r="AE339" s="304" t="s">
        <v>580</v>
      </c>
      <c r="AF339" s="305"/>
      <c r="AG339" s="305"/>
      <c r="AH339" s="305"/>
      <c r="AI339" s="305"/>
      <c r="AJ339" s="305"/>
    </row>
    <row r="340" spans="31:36" hidden="1">
      <c r="AE340" s="304" t="s">
        <v>581</v>
      </c>
      <c r="AF340" s="305"/>
      <c r="AG340" s="305"/>
      <c r="AH340" s="305"/>
      <c r="AI340" s="305"/>
      <c r="AJ340" s="305"/>
    </row>
    <row r="341" spans="31:36" hidden="1">
      <c r="AE341" s="304" t="s">
        <v>582</v>
      </c>
      <c r="AF341" s="305"/>
      <c r="AG341" s="305"/>
      <c r="AH341" s="305"/>
      <c r="AI341" s="305"/>
      <c r="AJ341" s="305"/>
    </row>
    <row r="342" spans="31:36" hidden="1">
      <c r="AE342" s="304" t="s">
        <v>583</v>
      </c>
      <c r="AF342" s="305"/>
      <c r="AG342" s="305"/>
      <c r="AH342" s="305"/>
      <c r="AI342" s="305"/>
      <c r="AJ342" s="305"/>
    </row>
    <row r="343" spans="31:36" hidden="1">
      <c r="AE343" s="306" t="s">
        <v>584</v>
      </c>
      <c r="AF343" s="305"/>
      <c r="AG343" s="305"/>
      <c r="AH343" s="305"/>
      <c r="AI343" s="305"/>
      <c r="AJ343" s="305"/>
    </row>
    <row r="344" spans="31:36" hidden="1">
      <c r="AE344" s="265" t="s">
        <v>585</v>
      </c>
      <c r="AF344" s="305"/>
      <c r="AG344" s="305"/>
      <c r="AH344" s="305"/>
      <c r="AI344" s="305"/>
      <c r="AJ344" s="305"/>
    </row>
    <row r="345" spans="31:36" hidden="1">
      <c r="AE345" s="265" t="s">
        <v>586</v>
      </c>
      <c r="AF345" s="305"/>
      <c r="AG345" s="305"/>
      <c r="AH345" s="305"/>
      <c r="AI345" s="305"/>
      <c r="AJ345" s="305"/>
    </row>
    <row r="346" spans="31:36" hidden="1">
      <c r="AE346" s="265" t="s">
        <v>587</v>
      </c>
      <c r="AF346" s="305"/>
      <c r="AG346" s="305"/>
      <c r="AH346" s="305"/>
      <c r="AI346" s="305"/>
      <c r="AJ346" s="305"/>
    </row>
    <row r="347" spans="31:36" hidden="1">
      <c r="AE347" s="265" t="s">
        <v>588</v>
      </c>
      <c r="AF347" s="305"/>
      <c r="AG347" s="305"/>
      <c r="AH347" s="305"/>
      <c r="AI347" s="305"/>
      <c r="AJ347" s="305"/>
    </row>
    <row r="348" spans="31:36" hidden="1">
      <c r="AE348" s="265" t="s">
        <v>589</v>
      </c>
      <c r="AF348" s="305"/>
      <c r="AG348" s="305"/>
      <c r="AH348" s="305"/>
      <c r="AI348" s="305"/>
      <c r="AJ348" s="305"/>
    </row>
    <row r="349" spans="31:36" hidden="1">
      <c r="AE349" s="265" t="s">
        <v>590</v>
      </c>
      <c r="AF349" s="305"/>
      <c r="AG349" s="305"/>
      <c r="AH349" s="305"/>
      <c r="AI349" s="305"/>
      <c r="AJ349" s="305"/>
    </row>
    <row r="350" spans="31:36" hidden="1">
      <c r="AE350" s="304" t="s">
        <v>591</v>
      </c>
      <c r="AF350" s="305"/>
      <c r="AG350" s="305"/>
      <c r="AH350" s="305"/>
      <c r="AI350" s="305"/>
      <c r="AJ350" s="305"/>
    </row>
    <row r="351" spans="31:36" hidden="1">
      <c r="AE351" s="304" t="s">
        <v>592</v>
      </c>
      <c r="AF351" s="305"/>
      <c r="AG351" s="305"/>
      <c r="AH351" s="305"/>
      <c r="AI351" s="305"/>
      <c r="AJ351" s="305"/>
    </row>
    <row r="352" spans="31:36" hidden="1">
      <c r="AE352" s="304" t="s">
        <v>593</v>
      </c>
      <c r="AF352" s="305"/>
      <c r="AG352" s="305"/>
      <c r="AH352" s="305"/>
      <c r="AI352" s="305"/>
      <c r="AJ352" s="305"/>
    </row>
    <row r="353" spans="31:36" hidden="1">
      <c r="AE353" s="304" t="s">
        <v>594</v>
      </c>
      <c r="AF353" s="305"/>
      <c r="AG353" s="305"/>
      <c r="AH353" s="305"/>
      <c r="AI353" s="305"/>
      <c r="AJ353" s="305"/>
    </row>
    <row r="354" spans="31:36" hidden="1">
      <c r="AE354" s="304" t="s">
        <v>595</v>
      </c>
      <c r="AF354" s="305"/>
      <c r="AG354" s="305"/>
      <c r="AH354" s="305"/>
      <c r="AI354" s="305"/>
      <c r="AJ354" s="305"/>
    </row>
    <row r="355" spans="31:36" hidden="1">
      <c r="AE355" s="304" t="s">
        <v>596</v>
      </c>
      <c r="AF355" s="305"/>
      <c r="AG355" s="305"/>
      <c r="AH355" s="305"/>
      <c r="AI355" s="305"/>
      <c r="AJ355" s="305"/>
    </row>
  </sheetData>
  <sheetProtection algorithmName="SHA-512" hashValue="9byd1nVA2lNOnUeMaPWTxozUyW7W7/HZN8NO/k04M6gAkidPdGo2YvyBgCMw+0ZnQraw2ix/WUS7SHizImDDQg==" saltValue="ec+bQwkPWPhQ4mymlpvgZw==" spinCount="100000" sheet="1" objects="1" scenarios="1" selectLockedCells="1"/>
  <sortState xmlns:xlrd2="http://schemas.microsoft.com/office/spreadsheetml/2017/richdata2" ref="BB48:BD89">
    <sortCondition ref="BB48:BB89"/>
  </sortState>
  <mergeCells count="500">
    <mergeCell ref="A141:AA141"/>
    <mergeCell ref="A106:G106"/>
    <mergeCell ref="U106:AA106"/>
    <mergeCell ref="A103:G103"/>
    <mergeCell ref="U103:AA103"/>
    <mergeCell ref="A104:G104"/>
    <mergeCell ref="U104:AA104"/>
    <mergeCell ref="A105:G105"/>
    <mergeCell ref="U105:AA105"/>
    <mergeCell ref="H105:L105"/>
    <mergeCell ref="H106:L106"/>
    <mergeCell ref="M105:P105"/>
    <mergeCell ref="M106:P106"/>
    <mergeCell ref="A139:AA139"/>
    <mergeCell ref="A127:AA127"/>
    <mergeCell ref="A137:AA137"/>
    <mergeCell ref="A123:AA123"/>
    <mergeCell ref="A128:AA128"/>
    <mergeCell ref="A129:AA129"/>
    <mergeCell ref="U133:AA133"/>
    <mergeCell ref="A132:AA132"/>
    <mergeCell ref="A130:AA130"/>
    <mergeCell ref="G133:T133"/>
    <mergeCell ref="H103:L103"/>
    <mergeCell ref="A42:F42"/>
    <mergeCell ref="G42:J42"/>
    <mergeCell ref="A95:AA95"/>
    <mergeCell ref="A96:G96"/>
    <mergeCell ref="U96:AA96"/>
    <mergeCell ref="A97:G97"/>
    <mergeCell ref="U97:AA97"/>
    <mergeCell ref="O60:P60"/>
    <mergeCell ref="O61:P61"/>
    <mergeCell ref="O62:P62"/>
    <mergeCell ref="O63:P63"/>
    <mergeCell ref="O64:P64"/>
    <mergeCell ref="O55:P55"/>
    <mergeCell ref="O56:P56"/>
    <mergeCell ref="O57:P57"/>
    <mergeCell ref="O58:P58"/>
    <mergeCell ref="O59:P59"/>
    <mergeCell ref="O50:P50"/>
    <mergeCell ref="O51:P51"/>
    <mergeCell ref="O52:P52"/>
    <mergeCell ref="O53:P53"/>
    <mergeCell ref="O54:P54"/>
    <mergeCell ref="H91:N91"/>
    <mergeCell ref="G70:T70"/>
    <mergeCell ref="I72:K72"/>
    <mergeCell ref="G72:H72"/>
    <mergeCell ref="S68:T68"/>
    <mergeCell ref="S74:V74"/>
    <mergeCell ref="S75:V75"/>
    <mergeCell ref="Q74:R74"/>
    <mergeCell ref="O75:P75"/>
    <mergeCell ref="Q64:R64"/>
    <mergeCell ref="G77:H77"/>
    <mergeCell ref="G78:H78"/>
    <mergeCell ref="L78:N78"/>
    <mergeCell ref="L73:N73"/>
    <mergeCell ref="I74:K74"/>
    <mergeCell ref="G73:H73"/>
    <mergeCell ref="O77:P77"/>
    <mergeCell ref="I76:K76"/>
    <mergeCell ref="I77:K77"/>
    <mergeCell ref="L77:N77"/>
    <mergeCell ref="L76:N76"/>
    <mergeCell ref="O68:P68"/>
    <mergeCell ref="Y66:AA66"/>
    <mergeCell ref="Y67:AA67"/>
    <mergeCell ref="S67:T67"/>
    <mergeCell ref="W64:X64"/>
    <mergeCell ref="Y64:AA64"/>
    <mergeCell ref="K65:L65"/>
    <mergeCell ref="G64:J64"/>
    <mergeCell ref="K64:L64"/>
    <mergeCell ref="S65:T65"/>
    <mergeCell ref="U64:V64"/>
    <mergeCell ref="M67:N67"/>
    <mergeCell ref="M66:N66"/>
    <mergeCell ref="W68:X68"/>
    <mergeCell ref="Y68:AA68"/>
    <mergeCell ref="O65:P65"/>
    <mergeCell ref="G68:J68"/>
    <mergeCell ref="K68:L68"/>
    <mergeCell ref="G67:J67"/>
    <mergeCell ref="K67:L67"/>
    <mergeCell ref="A142:AA142"/>
    <mergeCell ref="A109:G109"/>
    <mergeCell ref="H109:R110"/>
    <mergeCell ref="A110:G110"/>
    <mergeCell ref="A91:G91"/>
    <mergeCell ref="A84:G84"/>
    <mergeCell ref="A86:G86"/>
    <mergeCell ref="G79:H79"/>
    <mergeCell ref="O78:P78"/>
    <mergeCell ref="S78:V78"/>
    <mergeCell ref="O79:P79"/>
    <mergeCell ref="H88:N88"/>
    <mergeCell ref="H89:N89"/>
    <mergeCell ref="A138:AA138"/>
    <mergeCell ref="A134:AA134"/>
    <mergeCell ref="A131:AA131"/>
    <mergeCell ref="A135:AA135"/>
    <mergeCell ref="A133:F133"/>
    <mergeCell ref="A80:F80"/>
    <mergeCell ref="O93:T93"/>
    <mergeCell ref="H83:N83"/>
    <mergeCell ref="H84:N84"/>
    <mergeCell ref="H85:N85"/>
    <mergeCell ref="H86:N86"/>
    <mergeCell ref="A85:G85"/>
    <mergeCell ref="O84:T84"/>
    <mergeCell ref="O85:T85"/>
    <mergeCell ref="S80:V80"/>
    <mergeCell ref="L80:N80"/>
    <mergeCell ref="H87:N87"/>
    <mergeCell ref="A87:G87"/>
    <mergeCell ref="H101:L101"/>
    <mergeCell ref="H93:N93"/>
    <mergeCell ref="O83:T83"/>
    <mergeCell ref="U93:AA93"/>
    <mergeCell ref="U83:AA83"/>
    <mergeCell ref="U84:AA84"/>
    <mergeCell ref="U85:AA85"/>
    <mergeCell ref="U91:AA91"/>
    <mergeCell ref="H90:N90"/>
    <mergeCell ref="O86:T86"/>
    <mergeCell ref="O87:T87"/>
    <mergeCell ref="O88:T88"/>
    <mergeCell ref="O89:T89"/>
    <mergeCell ref="H92:N92"/>
    <mergeCell ref="U99:AA99"/>
    <mergeCell ref="A100:G100"/>
    <mergeCell ref="U101:AA101"/>
    <mergeCell ref="U86:AA86"/>
    <mergeCell ref="U87:AA87"/>
    <mergeCell ref="U88:AA88"/>
    <mergeCell ref="U89:AA89"/>
    <mergeCell ref="U90:AA90"/>
    <mergeCell ref="A122:AA122"/>
    <mergeCell ref="U92:AA92"/>
    <mergeCell ref="X116:Y116"/>
    <mergeCell ref="A119:AA119"/>
    <mergeCell ref="U98:AA98"/>
    <mergeCell ref="H104:L104"/>
    <mergeCell ref="M101:P101"/>
    <mergeCell ref="M102:P102"/>
    <mergeCell ref="M103:P103"/>
    <mergeCell ref="M104:P104"/>
    <mergeCell ref="H102:L102"/>
    <mergeCell ref="A124:AA124"/>
    <mergeCell ref="O80:P80"/>
    <mergeCell ref="Q72:R72"/>
    <mergeCell ref="O72:P72"/>
    <mergeCell ref="O74:P74"/>
    <mergeCell ref="Q75:R75"/>
    <mergeCell ref="Q77:R77"/>
    <mergeCell ref="A77:F77"/>
    <mergeCell ref="A74:F74"/>
    <mergeCell ref="L74:N74"/>
    <mergeCell ref="G80:H80"/>
    <mergeCell ref="A90:G90"/>
    <mergeCell ref="A88:G88"/>
    <mergeCell ref="A79:F79"/>
    <mergeCell ref="A98:G98"/>
    <mergeCell ref="U100:AA100"/>
    <mergeCell ref="A99:G99"/>
    <mergeCell ref="A101:G101"/>
    <mergeCell ref="S77:V77"/>
    <mergeCell ref="Q80:R80"/>
    <mergeCell ref="A102:G102"/>
    <mergeCell ref="U102:AA102"/>
    <mergeCell ref="H96:L96"/>
    <mergeCell ref="A120:AA120"/>
    <mergeCell ref="W63:X63"/>
    <mergeCell ref="W65:X65"/>
    <mergeCell ref="W67:X67"/>
    <mergeCell ref="M62:N62"/>
    <mergeCell ref="W79:AA79"/>
    <mergeCell ref="S79:V79"/>
    <mergeCell ref="W78:AA78"/>
    <mergeCell ref="A78:F78"/>
    <mergeCell ref="G76:H76"/>
    <mergeCell ref="I79:K79"/>
    <mergeCell ref="L79:N79"/>
    <mergeCell ref="Q78:R78"/>
    <mergeCell ref="S76:V76"/>
    <mergeCell ref="Q76:R76"/>
    <mergeCell ref="W76:AA76"/>
    <mergeCell ref="A66:F66"/>
    <mergeCell ref="G66:J66"/>
    <mergeCell ref="K66:L66"/>
    <mergeCell ref="A67:F67"/>
    <mergeCell ref="A68:F68"/>
    <mergeCell ref="Y63:AA63"/>
    <mergeCell ref="G65:J65"/>
    <mergeCell ref="O66:P66"/>
    <mergeCell ref="O67:P67"/>
    <mergeCell ref="K62:L62"/>
    <mergeCell ref="G63:J63"/>
    <mergeCell ref="G62:J62"/>
    <mergeCell ref="U67:V67"/>
    <mergeCell ref="G58:J58"/>
    <mergeCell ref="M58:N58"/>
    <mergeCell ref="K63:L63"/>
    <mergeCell ref="S63:T63"/>
    <mergeCell ref="U63:V63"/>
    <mergeCell ref="M64:N64"/>
    <mergeCell ref="H97:L97"/>
    <mergeCell ref="H98:L98"/>
    <mergeCell ref="H99:L99"/>
    <mergeCell ref="H100:L100"/>
    <mergeCell ref="Q96:T96"/>
    <mergeCell ref="A57:F57"/>
    <mergeCell ref="G57:J57"/>
    <mergeCell ref="A62:F62"/>
    <mergeCell ref="A72:F72"/>
    <mergeCell ref="A76:F76"/>
    <mergeCell ref="I78:K78"/>
    <mergeCell ref="I80:K80"/>
    <mergeCell ref="M98:P98"/>
    <mergeCell ref="M99:P99"/>
    <mergeCell ref="M100:P100"/>
    <mergeCell ref="Q66:R66"/>
    <mergeCell ref="Q67:R67"/>
    <mergeCell ref="Q68:R68"/>
    <mergeCell ref="Q73:R73"/>
    <mergeCell ref="O73:P73"/>
    <mergeCell ref="I73:K73"/>
    <mergeCell ref="S73:V73"/>
    <mergeCell ref="U68:V68"/>
    <mergeCell ref="M68:N68"/>
    <mergeCell ref="W80:AA80"/>
    <mergeCell ref="A93:G93"/>
    <mergeCell ref="A92:G92"/>
    <mergeCell ref="A89:G89"/>
    <mergeCell ref="O90:T90"/>
    <mergeCell ref="O91:T91"/>
    <mergeCell ref="O92:T92"/>
    <mergeCell ref="Q97:T97"/>
    <mergeCell ref="M53:N53"/>
    <mergeCell ref="M55:N55"/>
    <mergeCell ref="M96:P96"/>
    <mergeCell ref="M97:P97"/>
    <mergeCell ref="L72:N72"/>
    <mergeCell ref="A70:F70"/>
    <mergeCell ref="A75:F75"/>
    <mergeCell ref="G75:H75"/>
    <mergeCell ref="S72:V72"/>
    <mergeCell ref="Q63:R63"/>
    <mergeCell ref="A71:AA71"/>
    <mergeCell ref="I75:K75"/>
    <mergeCell ref="L75:N75"/>
    <mergeCell ref="G74:H74"/>
    <mergeCell ref="Y65:AA65"/>
    <mergeCell ref="Q65:R65"/>
    <mergeCell ref="M52:N52"/>
    <mergeCell ref="M54:N54"/>
    <mergeCell ref="W55:X55"/>
    <mergeCell ref="U55:V55"/>
    <mergeCell ref="S55:T55"/>
    <mergeCell ref="Y61:AA61"/>
    <mergeCell ref="U62:V62"/>
    <mergeCell ref="W62:X62"/>
    <mergeCell ref="Y62:AA62"/>
    <mergeCell ref="S62:T62"/>
    <mergeCell ref="Y55:AA55"/>
    <mergeCell ref="Q57:R57"/>
    <mergeCell ref="Q58:R58"/>
    <mergeCell ref="Q59:R59"/>
    <mergeCell ref="Q60:R60"/>
    <mergeCell ref="Q61:R61"/>
    <mergeCell ref="Q62:R62"/>
    <mergeCell ref="U56:V56"/>
    <mergeCell ref="W61:X61"/>
    <mergeCell ref="Q55:R55"/>
    <mergeCell ref="Q56:R56"/>
    <mergeCell ref="AV161:BF161"/>
    <mergeCell ref="A83:G83"/>
    <mergeCell ref="D145:F145"/>
    <mergeCell ref="H144:J144"/>
    <mergeCell ref="X110:AA110"/>
    <mergeCell ref="A59:F59"/>
    <mergeCell ref="Y56:AA56"/>
    <mergeCell ref="S58:T58"/>
    <mergeCell ref="W75:AA75"/>
    <mergeCell ref="G60:J60"/>
    <mergeCell ref="M57:N57"/>
    <mergeCell ref="Y57:AA57"/>
    <mergeCell ref="W58:X58"/>
    <mergeCell ref="Y58:AA58"/>
    <mergeCell ref="U61:V61"/>
    <mergeCell ref="Y59:AA59"/>
    <mergeCell ref="A60:F60"/>
    <mergeCell ref="A56:F56"/>
    <mergeCell ref="G56:J56"/>
    <mergeCell ref="W66:X66"/>
    <mergeCell ref="S59:T59"/>
    <mergeCell ref="W60:X60"/>
    <mergeCell ref="S66:T66"/>
    <mergeCell ref="U66:V66"/>
    <mergeCell ref="A144:C144"/>
    <mergeCell ref="M65:N65"/>
    <mergeCell ref="G61:J61"/>
    <mergeCell ref="K61:L61"/>
    <mergeCell ref="A63:F63"/>
    <mergeCell ref="A65:F65"/>
    <mergeCell ref="A64:F64"/>
    <mergeCell ref="A58:F58"/>
    <mergeCell ref="H145:J145"/>
    <mergeCell ref="A73:F73"/>
    <mergeCell ref="A125:AA125"/>
    <mergeCell ref="A126:AA126"/>
    <mergeCell ref="M60:N60"/>
    <mergeCell ref="A61:F61"/>
    <mergeCell ref="K59:L59"/>
    <mergeCell ref="W77:AA77"/>
    <mergeCell ref="W72:AA72"/>
    <mergeCell ref="D144:F144"/>
    <mergeCell ref="M63:N63"/>
    <mergeCell ref="U65:V65"/>
    <mergeCell ref="S64:T64"/>
    <mergeCell ref="W74:AA74"/>
    <mergeCell ref="W73:AA73"/>
    <mergeCell ref="O76:P76"/>
    <mergeCell ref="A217:A219"/>
    <mergeCell ref="W56:X56"/>
    <mergeCell ref="S57:T57"/>
    <mergeCell ref="U58:V58"/>
    <mergeCell ref="S56:T56"/>
    <mergeCell ref="F160:AA160"/>
    <mergeCell ref="W57:X57"/>
    <mergeCell ref="K60:L60"/>
    <mergeCell ref="U59:V59"/>
    <mergeCell ref="S61:T61"/>
    <mergeCell ref="U70:AA70"/>
    <mergeCell ref="A82:AA82"/>
    <mergeCell ref="Q79:R79"/>
    <mergeCell ref="M59:N59"/>
    <mergeCell ref="U60:V60"/>
    <mergeCell ref="S60:T60"/>
    <mergeCell ref="Y60:AA60"/>
    <mergeCell ref="U57:V57"/>
    <mergeCell ref="W59:X59"/>
    <mergeCell ref="G59:J59"/>
    <mergeCell ref="M61:N61"/>
    <mergeCell ref="K57:L57"/>
    <mergeCell ref="K58:L58"/>
    <mergeCell ref="A145:C145"/>
    <mergeCell ref="I2:N2"/>
    <mergeCell ref="W1:AA2"/>
    <mergeCell ref="O1:V2"/>
    <mergeCell ref="A1:N1"/>
    <mergeCell ref="A2:H2"/>
    <mergeCell ref="A3:C3"/>
    <mergeCell ref="Q3:T3"/>
    <mergeCell ref="D3:P3"/>
    <mergeCell ref="S50:T50"/>
    <mergeCell ref="S47:AA47"/>
    <mergeCell ref="U50:V50"/>
    <mergeCell ref="W50:X50"/>
    <mergeCell ref="G50:J50"/>
    <mergeCell ref="G39:J39"/>
    <mergeCell ref="G40:J40"/>
    <mergeCell ref="A39:F39"/>
    <mergeCell ref="M50:N50"/>
    <mergeCell ref="A50:F50"/>
    <mergeCell ref="K50:L50"/>
    <mergeCell ref="U3:AA3"/>
    <mergeCell ref="G9:H9"/>
    <mergeCell ref="G14:H14"/>
    <mergeCell ref="G19:H19"/>
    <mergeCell ref="G15:H15"/>
    <mergeCell ref="A47:K47"/>
    <mergeCell ref="L47:R47"/>
    <mergeCell ref="M56:N56"/>
    <mergeCell ref="K55:L55"/>
    <mergeCell ref="K56:L56"/>
    <mergeCell ref="K53:L53"/>
    <mergeCell ref="K54:L54"/>
    <mergeCell ref="A51:F51"/>
    <mergeCell ref="G51:J51"/>
    <mergeCell ref="A54:F54"/>
    <mergeCell ref="G52:J52"/>
    <mergeCell ref="G53:J53"/>
    <mergeCell ref="G54:J54"/>
    <mergeCell ref="A55:F55"/>
    <mergeCell ref="A53:F53"/>
    <mergeCell ref="G55:J55"/>
    <mergeCell ref="A52:F52"/>
    <mergeCell ref="A49:AA49"/>
    <mergeCell ref="K52:L52"/>
    <mergeCell ref="M51:N51"/>
    <mergeCell ref="Y50:AA50"/>
    <mergeCell ref="S51:T51"/>
    <mergeCell ref="U52:V52"/>
    <mergeCell ref="U53:V53"/>
    <mergeCell ref="Q39:AA39"/>
    <mergeCell ref="Q40:AA40"/>
    <mergeCell ref="Q41:AA41"/>
    <mergeCell ref="Y51:AA51"/>
    <mergeCell ref="U51:V51"/>
    <mergeCell ref="S52:T52"/>
    <mergeCell ref="S54:T54"/>
    <mergeCell ref="W51:X51"/>
    <mergeCell ref="W53:X53"/>
    <mergeCell ref="S53:T53"/>
    <mergeCell ref="W54:X54"/>
    <mergeCell ref="Q50:R50"/>
    <mergeCell ref="Q51:R51"/>
    <mergeCell ref="Q52:R52"/>
    <mergeCell ref="Q53:R53"/>
    <mergeCell ref="Q54:R54"/>
    <mergeCell ref="Y52:AA52"/>
    <mergeCell ref="Y53:AA53"/>
    <mergeCell ref="Y54:AA54"/>
    <mergeCell ref="U54:V54"/>
    <mergeCell ref="W52:X52"/>
    <mergeCell ref="X33:AA33"/>
    <mergeCell ref="V32:W32"/>
    <mergeCell ref="A7:F7"/>
    <mergeCell ref="A40:F40"/>
    <mergeCell ref="G8:H8"/>
    <mergeCell ref="A9:F9"/>
    <mergeCell ref="A29:F29"/>
    <mergeCell ref="G28:H28"/>
    <mergeCell ref="G29:H29"/>
    <mergeCell ref="A27:F27"/>
    <mergeCell ref="G26:H26"/>
    <mergeCell ref="G31:H31"/>
    <mergeCell ref="A34:F34"/>
    <mergeCell ref="G34:H34"/>
    <mergeCell ref="G20:H20"/>
    <mergeCell ref="G21:H21"/>
    <mergeCell ref="V22:W22"/>
    <mergeCell ref="L8:Q8"/>
    <mergeCell ref="L9:Q9"/>
    <mergeCell ref="A17:F17"/>
    <mergeCell ref="G17:H17"/>
    <mergeCell ref="A16:F16"/>
    <mergeCell ref="G16:H16"/>
    <mergeCell ref="A18:F18"/>
    <mergeCell ref="G18:H18"/>
    <mergeCell ref="G33:H33"/>
    <mergeCell ref="A32:F32"/>
    <mergeCell ref="A31:F31"/>
    <mergeCell ref="A33:F33"/>
    <mergeCell ref="G27:H27"/>
    <mergeCell ref="A22:F22"/>
    <mergeCell ref="A23:F23"/>
    <mergeCell ref="A24:F24"/>
    <mergeCell ref="A25:F25"/>
    <mergeCell ref="G22:H22"/>
    <mergeCell ref="G23:H23"/>
    <mergeCell ref="G24:H24"/>
    <mergeCell ref="G25:H25"/>
    <mergeCell ref="A30:F30"/>
    <mergeCell ref="G30:H30"/>
    <mergeCell ref="A4:AA4"/>
    <mergeCell ref="G7:H7"/>
    <mergeCell ref="I5:AA5"/>
    <mergeCell ref="A10:F10"/>
    <mergeCell ref="A11:F11"/>
    <mergeCell ref="A12:F12"/>
    <mergeCell ref="A13:F13"/>
    <mergeCell ref="G10:H10"/>
    <mergeCell ref="G11:H11"/>
    <mergeCell ref="G12:H12"/>
    <mergeCell ref="G13:H13"/>
    <mergeCell ref="L10:Q10"/>
    <mergeCell ref="L11:Q11"/>
    <mergeCell ref="L12:Q12"/>
    <mergeCell ref="G5:H6"/>
    <mergeCell ref="A8:F8"/>
    <mergeCell ref="L7:Q7"/>
    <mergeCell ref="I20:Q20"/>
    <mergeCell ref="I21:Q21"/>
    <mergeCell ref="A41:F41"/>
    <mergeCell ref="G41:J41"/>
    <mergeCell ref="A5:F6"/>
    <mergeCell ref="K51:L51"/>
    <mergeCell ref="Y30:Z30"/>
    <mergeCell ref="A36:F36"/>
    <mergeCell ref="G36:J36"/>
    <mergeCell ref="Q36:AA36"/>
    <mergeCell ref="A37:F37"/>
    <mergeCell ref="G37:J37"/>
    <mergeCell ref="Q37:AA37"/>
    <mergeCell ref="A38:F38"/>
    <mergeCell ref="G38:J38"/>
    <mergeCell ref="Q38:AA38"/>
    <mergeCell ref="A20:F20"/>
    <mergeCell ref="A21:F21"/>
    <mergeCell ref="A15:F15"/>
    <mergeCell ref="A14:F14"/>
    <mergeCell ref="A28:F28"/>
    <mergeCell ref="A26:F26"/>
    <mergeCell ref="G32:H32"/>
    <mergeCell ref="A19:F19"/>
  </mergeCells>
  <phoneticPr fontId="15" type="noConversion"/>
  <conditionalFormatting sqref="K51:K68">
    <cfRule type="expression" dxfId="25" priority="145" stopIfTrue="1">
      <formula>NOT(OR(A51="",AB51="AC1",AB51="X",AB51="AC3U5",AB51="HP3U5"))</formula>
    </cfRule>
  </conditionalFormatting>
  <conditionalFormatting sqref="M97:M106">
    <cfRule type="expression" dxfId="24" priority="8" stopIfTrue="1">
      <formula>(XFD97="VRF_Air_Conditioners_Air_Cooled")</formula>
    </cfRule>
  </conditionalFormatting>
  <conditionalFormatting sqref="M51:N68">
    <cfRule type="expression" dxfId="23" priority="70" stopIfTrue="1">
      <formula>OR(AB51="E",AB51="AC1",AB51="AC3",AB51="C",AB51="T",AB51="AC3U5",AB51="MAC")</formula>
    </cfRule>
  </conditionalFormatting>
  <conditionalFormatting sqref="O55">
    <cfRule type="expression" dxfId="22" priority="6" stopIfTrue="1">
      <formula>Z55="T"</formula>
    </cfRule>
  </conditionalFormatting>
  <conditionalFormatting sqref="O84:O93">
    <cfRule type="expression" dxfId="21" priority="153" stopIfTrue="1">
      <formula>(XFD84="VRF_Air_Conditioners_Air_Cooled")</formula>
    </cfRule>
  </conditionalFormatting>
  <conditionalFormatting sqref="O51:P68">
    <cfRule type="expression" dxfId="20" priority="5">
      <formula>AB51="T"</formula>
    </cfRule>
  </conditionalFormatting>
  <conditionalFormatting sqref="O107:P108">
    <cfRule type="expression" dxfId="19" priority="25" stopIfTrue="1">
      <formula>"O67&lt;AD67"</formula>
    </cfRule>
  </conditionalFormatting>
  <conditionalFormatting sqref="P69:Q69 P81:Q81">
    <cfRule type="expression" dxfId="18" priority="92" stopIfTrue="1">
      <formula>OR(B69="Hotel_Room_Control",B69="Heat_Pump_Water_Heater",B69="System_Test_And_Repair",$A69="AC_Unit_Three_Phase",$A69="HP_Unit_Three_Phase",$A69="Programable_Thermostat",$A69="Chiller_Centrifugal",$A69="Chiller_Screw",$A69="Chiller_Reciprocating",$A69="Chiller_Air_Cooled")</formula>
    </cfRule>
  </conditionalFormatting>
  <conditionalFormatting sqref="P94:Q94">
    <cfRule type="expression" dxfId="17" priority="4" stopIfTrue="1">
      <formula>OR(B94="Hotel_Room_Control",B94="Heat_Pump_Water_Heater",B94="System_Test_And_Repair",$A94="AC_Unit_Three_Phase",$A94="HP_Unit_Three_Phase",$A94="Programable_Thermostat",$A94="Chiller_Centrifugal",$A94="Chiller_Screw",$A94="Chiller_Reciprocating",$A94="Chiller_Air_Cooled")</formula>
    </cfRule>
  </conditionalFormatting>
  <conditionalFormatting sqref="Q51:Q68">
    <cfRule type="expression" dxfId="16" priority="152" stopIfTrue="1">
      <formula>AB51="T"</formula>
    </cfRule>
  </conditionalFormatting>
  <conditionalFormatting sqref="Q73:R80">
    <cfRule type="expression" dxfId="15" priority="27" stopIfTrue="1">
      <formula>"Q53&gt;O53"</formula>
    </cfRule>
  </conditionalFormatting>
  <conditionalFormatting sqref="Q107:Z107">
    <cfRule type="expression" dxfId="14" priority="24" stopIfTrue="1">
      <formula>"O67&lt;AD67"</formula>
    </cfRule>
  </conditionalFormatting>
  <conditionalFormatting sqref="Q108:AA108">
    <cfRule type="expression" dxfId="13" priority="23" stopIfTrue="1">
      <formula>"O67&lt;AD67"</formula>
    </cfRule>
  </conditionalFormatting>
  <conditionalFormatting sqref="R69:S69">
    <cfRule type="expression" dxfId="12" priority="59" stopIfTrue="1">
      <formula>OR(B69="Hotel_Room_Control",B69="System_Test_And_Repair",$A69="AC_Unit_Single_Phase",$A69="HP_Unit_Single_Phase",$A69="Programable_Thermostat")</formula>
    </cfRule>
  </conditionalFormatting>
  <conditionalFormatting sqref="R81:S81">
    <cfRule type="expression" dxfId="11" priority="36" stopIfTrue="1">
      <formula>OR(B81="Hotel_Room_Control",B81="System_Test_And_Repair",$A81="AC_Unit_Single_Phase",$A81="HP_Unit_Single_Phase",$A81="Programable_Thermostat")</formula>
    </cfRule>
  </conditionalFormatting>
  <conditionalFormatting sqref="R94:S94">
    <cfRule type="expression" dxfId="10" priority="3" stopIfTrue="1">
      <formula>OR(B94="Hotel_Room_Control",B94="System_Test_And_Repair",$A94="AC_Unit_Single_Phase",$A94="HP_Unit_Single_Phase",$A94="Programable_Thermostat")</formula>
    </cfRule>
  </conditionalFormatting>
  <conditionalFormatting sqref="S73:S80">
    <cfRule type="expression" dxfId="9" priority="49" stopIfTrue="1">
      <formula>(A73="VRF_Air_Conditioners_Air_Cooled")</formula>
    </cfRule>
  </conditionalFormatting>
  <conditionalFormatting sqref="S51:T68">
    <cfRule type="expression" dxfId="8" priority="10" stopIfTrue="1">
      <formula>OR(S51="CK CAT",S51="CK SEER Rating",S51="SELECT SEER",S51="ENTER SEER")</formula>
    </cfRule>
  </conditionalFormatting>
  <conditionalFormatting sqref="U84:U93 U97:U106">
    <cfRule type="expression" dxfId="7" priority="16" stopIfTrue="1">
      <formula>OR($AC84="Incomplete",U84="Check Efficiency")</formula>
    </cfRule>
  </conditionalFormatting>
  <conditionalFormatting sqref="U51:V68">
    <cfRule type="expression" dxfId="6" priority="148" stopIfTrue="1">
      <formula>$AB51="T"</formula>
    </cfRule>
  </conditionalFormatting>
  <conditionalFormatting sqref="V69:W69">
    <cfRule type="expression" dxfId="5" priority="57" stopIfTrue="1">
      <formula>OR(B69="Hotel_Room_Control",B69="System_Test_And_Repair",$A69="AC_Unit_Single_Phase",$A69="HP_Unit_Single_Phase",$A69="Programable_Thermostat")</formula>
    </cfRule>
  </conditionalFormatting>
  <conditionalFormatting sqref="V81:W81">
    <cfRule type="expression" dxfId="4" priority="34" stopIfTrue="1">
      <formula>OR(B81="Hotel_Room_Control",B81="System_Test_And_Repair",$A81="AC_Unit_Single_Phase",$A81="HP_Unit_Single_Phase",$A81="Programable_Thermostat")</formula>
    </cfRule>
  </conditionalFormatting>
  <conditionalFormatting sqref="V94:W94">
    <cfRule type="expression" dxfId="3" priority="2" stopIfTrue="1">
      <formula>OR(B94="Hotel_Room_Control",B94="System_Test_And_Repair",$A94="AC_Unit_Single_Phase",$A94="HP_Unit_Single_Phase",$A94="Programable_Thermostat")</formula>
    </cfRule>
  </conditionalFormatting>
  <conditionalFormatting sqref="W73:W80">
    <cfRule type="expression" dxfId="2" priority="149" stopIfTrue="1">
      <formula>OR($AB73="Incomplete",AD73=1)</formula>
    </cfRule>
  </conditionalFormatting>
  <conditionalFormatting sqref="Y51:Z68">
    <cfRule type="expression" dxfId="1" priority="146" stopIfTrue="1">
      <formula>OR(AD51=1,Y51="Incomplete",Y51="CK or Delete SEER")</formula>
    </cfRule>
  </conditionalFormatting>
  <conditionalFormatting sqref="AA51:AA68">
    <cfRule type="expression" dxfId="0" priority="48" stopIfTrue="1">
      <formula>OR(AE51=1,AA51="Incomplete",AA51="CK or Delete SEER")</formula>
    </cfRule>
  </conditionalFormatting>
  <dataValidations xWindow="1009" yWindow="538" count="18">
    <dataValidation type="list" allowBlank="1" showInputMessage="1" showErrorMessage="1" sqref="G51:G68 H84:N84 H85:H93 H97:H106" xr:uid="{2D18B77F-0C68-4AF1-BC23-54A0DF89B908}">
      <formula1>INDIRECT($A51)</formula1>
    </dataValidation>
    <dataValidation type="list" allowBlank="1" showInputMessage="1" showErrorMessage="1" sqref="A51:A68" xr:uid="{8F8DDB27-F03C-429C-8C5B-7D7D58EE1087}">
      <formula1>Measure</formula1>
    </dataValidation>
    <dataValidation allowBlank="1" showDropDown="1" showInputMessage="1" showErrorMessage="1" error="Reselect a &quot;Size/Catagory&quot;" sqref="S51:T68" xr:uid="{6CB981EB-F306-42EC-8984-B37639B291A3}"/>
    <dataValidation type="list" allowBlank="1" showInputMessage="1" showErrorMessage="1" sqref="K51:L68" xr:uid="{0CA4AFB8-063C-46B4-89EE-E54864FB5FDD}">
      <formula1>INDIRECT(G51)</formula1>
    </dataValidation>
    <dataValidation type="decimal" operator="greaterThanOrEqual" allowBlank="1" showInputMessage="1" showErrorMessage="1" sqref="S73:S80" xr:uid="{F8608831-C78D-4DFB-B778-76BF81FEDB9F}">
      <formula1>AG72</formula1>
    </dataValidation>
    <dataValidation type="list" allowBlank="1" showInputMessage="1" showErrorMessage="1" sqref="I73:K80" xr:uid="{FEE87AEE-798E-4863-B755-8EAD0166EAB9}">
      <formula1>INDIRECT(A73)</formula1>
    </dataValidation>
    <dataValidation type="decimal" allowBlank="1" showInputMessage="1" showErrorMessage="1" sqref="M51:N68" xr:uid="{46654D90-2EAF-4874-B58F-8D7741F8B6B0}">
      <formula1>0.01</formula1>
      <formula2>14</formula2>
    </dataValidation>
    <dataValidation type="list" allowBlank="1" showInputMessage="1" showErrorMessage="1" sqref="A84:G93" xr:uid="{E4451000-89A4-4708-979D-6C53DF5FF55D}">
      <formula1>$AU$181</formula1>
    </dataValidation>
    <dataValidation type="whole" operator="greaterThanOrEqual" allowBlank="1" showInputMessage="1" showErrorMessage="1" errorTitle="Invalid entry" error="Please enter whole number greater than zero" promptTitle="Quantity" prompt="Please enter quantity of units" sqref="U196:U198" xr:uid="{2050AAB6-0906-4E24-89B0-A2C78A3CDC80}">
      <formula1>0</formula1>
    </dataValidation>
    <dataValidation type="list" allowBlank="1" showInputMessage="1" showErrorMessage="1" promptTitle="Location" prompt="Please select location type that best identifies usage" sqref="S196:S198" xr:uid="{07A4803E-7F21-41C1-9A19-BCB5D5D47FB5}">
      <formula1>#REF!</formula1>
    </dataValidation>
    <dataValidation type="list" allowBlank="1" showInputMessage="1" showErrorMessage="1" sqref="A73:F80" xr:uid="{CF7D8698-5E0E-496B-8A3A-8D7CB21EE835}">
      <formula1>$AU$189:$AU$189</formula1>
    </dataValidation>
    <dataValidation type="list" allowBlank="1" showInputMessage="1" showErrorMessage="1" sqref="G74:G80 G73:H73" xr:uid="{BB9B88FD-7310-49DE-BFF2-129DB8742212}">
      <formula1>$BO$163:$BO$164</formula1>
    </dataValidation>
    <dataValidation type="list" allowBlank="1" showInputMessage="1" showErrorMessage="1" sqref="L73:N80" xr:uid="{FD4EDCDF-3D51-46F5-B95A-A45FD6E3958B}">
      <formula1>$BT$163:$BT$167</formula1>
    </dataValidation>
    <dataValidation type="decimal" operator="lessThanOrEqual" allowBlank="1" showInputMessage="1" showErrorMessage="1" sqref="Q73:R80" xr:uid="{7AE96CCC-3BCD-45E7-A41F-7EAE52B79355}">
      <formula1>VLOOKUP(A73,$AE$247:$AJ$247,6,FALSE)</formula1>
    </dataValidation>
    <dataValidation type="decimal" allowBlank="1" showInputMessage="1" showErrorMessage="1" sqref="U51:V68" xr:uid="{6CA22832-C042-4D9E-8E7F-B1218E62968C}">
      <formula1>VLOOKUP(S51,$AF$163:$AJ$301,4,FALSE)</formula1>
      <formula2>TRUNC(VLOOKUP(S51,$AF$163:$AJ$301,5,FALSE),3)</formula2>
    </dataValidation>
    <dataValidation type="decimal" operator="greaterThanOrEqual" allowBlank="1" showInputMessage="1" showErrorMessage="1" sqref="O84:O93" xr:uid="{0993B420-B0AB-42A7-94B3-217C73717C2D}">
      <formula1>AF83</formula1>
    </dataValidation>
    <dataValidation type="list" allowBlank="1" showInputMessage="1" showErrorMessage="1" sqref="A97:G106" xr:uid="{0A0A3022-01D3-498A-AC61-F4203D2EE3A1}">
      <formula1>$AU$182</formula1>
    </dataValidation>
    <dataValidation type="decimal" allowBlank="1" showInputMessage="1" showErrorMessage="1" sqref="O51:P68" xr:uid="{9478CAE2-CDFA-4094-B436-B521CCCCEB0D}">
      <formula1>VLOOKUP(G51,$BB$48:$BF$90,4,FALSE)</formula1>
      <formula2>VLOOKUP(G51,$BB$48:$BF$90,5,FALSE)</formula2>
    </dataValidation>
  </dataValidations>
  <printOptions horizontalCentered="1"/>
  <pageMargins left="0.25" right="0.25" top="0.4" bottom="0.65" header="0.5" footer="0.34"/>
  <pageSetup scale="61" fitToHeight="0" orientation="portrait" useFirstPageNumber="1" r:id="rId1"/>
  <headerFooter scaleWithDoc="0">
    <oddFooter>&amp;L&amp;8EasySave Plus Prescriptive Application&amp;R&amp;8Application Version:2/14/2020</oddFooter>
  </headerFooter>
  <rowBreaks count="2" manualBreakCount="2">
    <brk id="69" max="25" man="1"/>
    <brk id="132" max="2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SharedWithUsers xmlns="7ac9e20b-1dbf-4037-8b68-087444dc2ecf">
      <UserInfo>
        <DisplayName>Nicholas Dombrosky</DisplayName>
        <AccountId>1836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8" ma:contentTypeDescription="Create a new document." ma:contentTypeScope="" ma:versionID="22a2ea4756776e3dce985beeb8d24b64">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ec2dfb9e900a645c1ca47b4c4545c9bd"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FE823-32F0-49CF-AB59-9C2DF21AFE81}">
  <ds:schemaRefs>
    <ds:schemaRef ds:uri="http://schemas.microsoft.com/office/2006/metadata/properties"/>
    <ds:schemaRef ds:uri="http://schemas.microsoft.com/office/infopath/2007/PartnerControls"/>
    <ds:schemaRef ds:uri="7ac9e20b-1dbf-4037-8b68-087444dc2ecf"/>
    <ds:schemaRef ds:uri="cbc74c14-02a4-46af-926d-0fbb104e9968"/>
    <ds:schemaRef ds:uri="http://schemas.microsoft.com/sharepoint/v3"/>
  </ds:schemaRefs>
</ds:datastoreItem>
</file>

<file path=customXml/itemProps2.xml><?xml version="1.0" encoding="utf-8"?>
<ds:datastoreItem xmlns:ds="http://schemas.openxmlformats.org/officeDocument/2006/customXml" ds:itemID="{3AFD1FB2-0255-4457-BC99-4EFED9C3E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411E7-6588-4EEA-93E3-66BE8D53C269}">
  <ds:schemaRefs>
    <ds:schemaRef ds:uri="http://schemas.microsoft.com/sharepoint/v3/contenttype/forms"/>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36</vt:i4>
      </vt:variant>
    </vt:vector>
  </HeadingPairs>
  <TitlesOfParts>
    <vt:vector size="38" baseType="lpstr">
      <vt:lpstr>Cover</vt:lpstr>
      <vt:lpstr>HVAC</vt:lpstr>
      <vt:lpstr>_2.0_tons_1Phase</vt:lpstr>
      <vt:lpstr>HVAC!_2.5_tons</vt:lpstr>
      <vt:lpstr>_2.5_tons_1Phase</vt:lpstr>
      <vt:lpstr>HVAC!_3.0_tons</vt:lpstr>
      <vt:lpstr>_3.0_tons_1Phase</vt:lpstr>
      <vt:lpstr>HVAC!_3.5_tons</vt:lpstr>
      <vt:lpstr>_3.5_tons_1Phase</vt:lpstr>
      <vt:lpstr>HVAC!_4.0_tons</vt:lpstr>
      <vt:lpstr>_4.0_tons_1Phase</vt:lpstr>
      <vt:lpstr>HVAC!_5.0_tons</vt:lpstr>
      <vt:lpstr>_5.0_tons_1Phase</vt:lpstr>
      <vt:lpstr>HVAC!AC_Unit_Single_Phase</vt:lpstr>
      <vt:lpstr>HVAC!AC_Unit_Three_Phase</vt:lpstr>
      <vt:lpstr>HVAC!Add_Economizers</vt:lpstr>
      <vt:lpstr>HVAC!Advanced_Rooftop_Controls</vt:lpstr>
      <vt:lpstr>HVAC!Chiller_Air_Cooled</vt:lpstr>
      <vt:lpstr>HVAC!Chiller_Centrifugal</vt:lpstr>
      <vt:lpstr>HVAC!Chiller_Positive_Displacement</vt:lpstr>
      <vt:lpstr>HVAC!CO_Sensors</vt:lpstr>
      <vt:lpstr>HVAC!CO2_Sensors</vt:lpstr>
      <vt:lpstr>HVAC!Heat_Pump_Water_Heater</vt:lpstr>
      <vt:lpstr>HVAC!Hotel_Room_Control_AC_Only</vt:lpstr>
      <vt:lpstr>HVAC!Hotel_Room_Control_Heat_Pumps</vt:lpstr>
      <vt:lpstr>HVAC!HP_Unit_Single_Phase</vt:lpstr>
      <vt:lpstr>HVAC!HP_Unit_Three_Phase</vt:lpstr>
      <vt:lpstr>HVAC!Measure</vt:lpstr>
      <vt:lpstr>Metric</vt:lpstr>
      <vt:lpstr>Minisplit_AC</vt:lpstr>
      <vt:lpstr>Minisplit_HP</vt:lpstr>
      <vt:lpstr>Cover!Print_Area</vt:lpstr>
      <vt:lpstr>HVAC!Print_Area</vt:lpstr>
      <vt:lpstr>HVAC!Programable_Thermostat</vt:lpstr>
      <vt:lpstr>Retro_Commissioning</vt:lpstr>
      <vt:lpstr>HVAC!Shade_Screen</vt:lpstr>
      <vt:lpstr>Size</vt:lpstr>
      <vt:lpstr>HVAC!under_5.4_tons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Wetzel, Adrian</dc:creator>
  <cp:keywords/>
  <dc:description/>
  <cp:lastModifiedBy>Sherri Ehlers</cp:lastModifiedBy>
  <cp:revision/>
  <dcterms:created xsi:type="dcterms:W3CDTF">2003-03-20T18:04:27Z</dcterms:created>
  <dcterms:modified xsi:type="dcterms:W3CDTF">2025-04-29T00:07:59Z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2022-11-16T04:40:24Z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c79151b9-547f-421f-b906-2b62d230b66f</vt:lpwstr>
  </property>
  <property fmtid="{D5CDD505-2E9C-101B-9397-08002B2CF9AE}" pid="8" name="MSIP_Label_48141450-2387-4aca-b41f-19cd6be9dd3c_ContentBits">
    <vt:lpwstr>0</vt:lpwstr>
  </property>
  <property fmtid="{D5CDD505-2E9C-101B-9397-08002B2CF9AE}" pid="9" name="ContentTypeId">
    <vt:lpwstr>0x01010034B000617BA075498E37F52E0DED6404</vt:lpwstr>
  </property>
  <property fmtid="{D5CDD505-2E9C-101B-9397-08002B2CF9AE}" pid="10" name="MediaServiceImageTags">
    <vt:lpwstr/>
  </property>
</Properties>
</file>